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24"/>
  <workbookPr defaultThemeVersion="124226"/>
  <xr:revisionPtr revIDLastSave="1" documentId="11_64D40BAE1EB8F8AEA0438EB551E55454A1497FA5" xr6:coauthVersionLast="47" xr6:coauthVersionMax="47" xr10:uidLastSave="{5798235D-D145-44E0-89A1-F0357422D5F6}"/>
  <bookViews>
    <workbookView xWindow="480" yWindow="60" windowWidth="18192" windowHeight="11832" firstSheet="1" activeTab="3" xr2:uid="{00000000-000D-0000-FFFF-FFFF00000000}"/>
  </bookViews>
  <sheets>
    <sheet name="Cover Page" sheetId="6" r:id="rId1"/>
    <sheet name="Domtar SO2 controls" sheetId="3" r:id="rId2"/>
    <sheet name="Domtar SNCR #2PB" sheetId="4" r:id="rId3"/>
    <sheet name="Domtar SNCR #3PB " sheetId="5" r:id="rId4"/>
    <sheet name="CEPCI Index" sheetId="1" r:id="rId5"/>
  </sheets>
  <externalReferences>
    <externalReference r:id="rId6"/>
  </externalReferences>
  <definedNames>
    <definedName name="_xlnm.Print_Area" localSheetId="2">'Domtar SNCR #2PB'!$A$1:$E$92</definedName>
    <definedName name="_xlnm.Print_Area" localSheetId="3">'Domtar SNCR #3PB '!$A$1:$E$89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E17" i="4"/>
  <c r="D17" i="4"/>
  <c r="E64" i="5" l="1"/>
  <c r="D64" i="5"/>
  <c r="E63" i="5"/>
  <c r="D63" i="5"/>
  <c r="E62" i="5"/>
  <c r="D62" i="5"/>
  <c r="E39" i="5"/>
  <c r="E51" i="5" s="1"/>
  <c r="D39" i="5"/>
  <c r="D40" i="5" s="1"/>
  <c r="D53" i="5" s="1"/>
  <c r="E37" i="5"/>
  <c r="D37" i="5"/>
  <c r="E36" i="5"/>
  <c r="D36" i="5"/>
  <c r="D35" i="5" s="1"/>
  <c r="E15" i="5"/>
  <c r="D15" i="5"/>
  <c r="E13" i="5"/>
  <c r="D13" i="5"/>
  <c r="E10" i="5"/>
  <c r="D10" i="5"/>
  <c r="E9" i="5"/>
  <c r="E8" i="5" s="1"/>
  <c r="D9" i="5"/>
  <c r="D8" i="5" s="1"/>
  <c r="E7" i="5"/>
  <c r="E23" i="5" s="1"/>
  <c r="D7" i="5"/>
  <c r="D23" i="5" s="1"/>
  <c r="E66" i="4"/>
  <c r="D66" i="4"/>
  <c r="E65" i="4"/>
  <c r="D65" i="4"/>
  <c r="E64" i="4"/>
  <c r="D64" i="4"/>
  <c r="E61" i="4"/>
  <c r="D61" i="4"/>
  <c r="E60" i="4"/>
  <c r="D60" i="4"/>
  <c r="E39" i="4"/>
  <c r="D39" i="4"/>
  <c r="D51" i="4" s="1"/>
  <c r="E37" i="4"/>
  <c r="D37" i="4"/>
  <c r="E36" i="4"/>
  <c r="D36" i="4"/>
  <c r="E35" i="4"/>
  <c r="E15" i="4"/>
  <c r="D15" i="4"/>
  <c r="E13" i="4"/>
  <c r="D13" i="4"/>
  <c r="E10" i="4"/>
  <c r="E9" i="4" s="1"/>
  <c r="E8" i="4" s="1"/>
  <c r="D10" i="4"/>
  <c r="D9" i="4"/>
  <c r="D8" i="4" s="1"/>
  <c r="E7" i="4"/>
  <c r="E23" i="4" s="1"/>
  <c r="D7" i="4"/>
  <c r="D23" i="4" s="1"/>
  <c r="C28" i="3"/>
  <c r="D13" i="3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D9" i="3" l="1"/>
  <c r="F9" i="3" s="1"/>
  <c r="H9" i="3" s="1"/>
  <c r="D8" i="3"/>
  <c r="E47" i="4"/>
  <c r="E51" i="4"/>
  <c r="E50" i="4" s="1"/>
  <c r="E40" i="4"/>
  <c r="E53" i="4" s="1"/>
  <c r="D7" i="3"/>
  <c r="F7" i="3" s="1"/>
  <c r="H7" i="3" s="1"/>
  <c r="F8" i="3"/>
  <c r="H8" i="3" s="1"/>
  <c r="D6" i="3"/>
  <c r="F6" i="3" s="1"/>
  <c r="D5" i="3"/>
  <c r="F5" i="3" s="1"/>
  <c r="H5" i="3" s="1"/>
  <c r="D10" i="3"/>
  <c r="F10" i="3" s="1"/>
  <c r="H10" i="3" s="1"/>
  <c r="E55" i="4"/>
  <c r="E54" i="4" s="1"/>
  <c r="E52" i="4"/>
  <c r="E27" i="5"/>
  <c r="E25" i="5"/>
  <c r="E26" i="5"/>
  <c r="E47" i="5"/>
  <c r="E50" i="5"/>
  <c r="D26" i="5"/>
  <c r="D27" i="5"/>
  <c r="D25" i="5"/>
  <c r="D52" i="5"/>
  <c r="D55" i="5"/>
  <c r="D54" i="5" s="1"/>
  <c r="D27" i="4"/>
  <c r="D25" i="4"/>
  <c r="D26" i="4"/>
  <c r="D47" i="4"/>
  <c r="D50" i="4"/>
  <c r="D35" i="4"/>
  <c r="D40" i="4"/>
  <c r="D53" i="4" s="1"/>
  <c r="E35" i="5"/>
  <c r="E40" i="5"/>
  <c r="E53" i="5" s="1"/>
  <c r="E26" i="4"/>
  <c r="D47" i="5"/>
  <c r="D51" i="5"/>
  <c r="D50" i="5" s="1"/>
  <c r="C34" i="3"/>
  <c r="C35" i="3" s="1"/>
  <c r="C36" i="3" s="1"/>
  <c r="E25" i="4"/>
  <c r="E27" i="4"/>
  <c r="E28" i="4" l="1"/>
  <c r="E30" i="4" s="1"/>
  <c r="D28" i="4"/>
  <c r="D30" i="4" s="1"/>
  <c r="D31" i="4" s="1"/>
  <c r="E28" i="5"/>
  <c r="C38" i="3"/>
  <c r="G6" i="3"/>
  <c r="H6" i="3" s="1"/>
  <c r="D34" i="4"/>
  <c r="D43" i="4" s="1"/>
  <c r="E31" i="4"/>
  <c r="D55" i="4"/>
  <c r="D54" i="4" s="1"/>
  <c r="D52" i="4"/>
  <c r="E30" i="5"/>
  <c r="E31" i="5" s="1"/>
  <c r="D28" i="5"/>
  <c r="E55" i="5"/>
  <c r="E54" i="5" s="1"/>
  <c r="E52" i="5"/>
  <c r="E34" i="5" l="1"/>
  <c r="E43" i="5" s="1"/>
  <c r="D46" i="4"/>
  <c r="D56" i="4" s="1"/>
  <c r="D57" i="4"/>
  <c r="E34" i="4"/>
  <c r="E43" i="4" s="1"/>
  <c r="D30" i="5"/>
  <c r="D31" i="5" s="1"/>
  <c r="D58" i="4" l="1"/>
  <c r="D67" i="4" s="1"/>
  <c r="D34" i="5"/>
  <c r="D43" i="5" s="1"/>
  <c r="E46" i="4"/>
  <c r="E56" i="4" s="1"/>
  <c r="E57" i="4"/>
  <c r="E46" i="5"/>
  <c r="E56" i="5" s="1"/>
  <c r="E57" i="5"/>
  <c r="E58" i="5" l="1"/>
  <c r="E65" i="5" s="1"/>
  <c r="E58" i="4"/>
  <c r="E67" i="4" s="1"/>
  <c r="D46" i="5"/>
  <c r="D56" i="5" s="1"/>
  <c r="D57" i="5"/>
  <c r="D58" i="5" l="1"/>
  <c r="D65" i="5" s="1"/>
</calcChain>
</file>

<file path=xl/sharedStrings.xml><?xml version="1.0" encoding="utf-8"?>
<sst xmlns="http://schemas.openxmlformats.org/spreadsheetml/2006/main" count="281" uniqueCount="161">
  <si>
    <t>Unit</t>
  </si>
  <si>
    <t>SO2 reduction option</t>
  </si>
  <si>
    <t>Capital Cost (2018 dollars)</t>
  </si>
  <si>
    <t>Annualized Capital Cost  (2018 dollars)</t>
  </si>
  <si>
    <t>Annual Direct and Indirect/Operations and Maintenance (2018 dollars)</t>
  </si>
  <si>
    <t>Total annual cost 2019 Dollars</t>
  </si>
  <si>
    <t>Emission Reductions (Avg Month Basis)</t>
  </si>
  <si>
    <t>Cost-effectiveness  ($2019/ton)</t>
  </si>
  <si>
    <t>New downstream scrubber</t>
  </si>
  <si>
    <t>increased scrubbing reagent use</t>
  </si>
  <si>
    <t>Wet FGD low</t>
  </si>
  <si>
    <t>Wet FGD high</t>
  </si>
  <si>
    <t>Dry FGD low</t>
  </si>
  <si>
    <t>Dry FGD high</t>
  </si>
  <si>
    <t>30 yr</t>
  </si>
  <si>
    <t>CRF = (i(1+i)^n)/(((1+i)^n)-1)</t>
  </si>
  <si>
    <t>interest</t>
  </si>
  <si>
    <t>n (remaining useful life or RUL)</t>
  </si>
  <si>
    <t>Notes</t>
  </si>
  <si>
    <t>Average % SO2 Removal during 3-year period (2011 - 2013)</t>
  </si>
  <si>
    <t>Obtained from AR020.0188 Domtar PB2_Cost 2011-2013</t>
  </si>
  <si>
    <t>2017 - 2019 Annual Average Emissions for Power Boiler No. 2  (AA)</t>
  </si>
  <si>
    <t>Assuming scrubbers are curently achieving ~69.3 % SO2 removal,   U=  100% uncontrolled SO2 emissions :</t>
  </si>
  <si>
    <t>U x (1 - 0.693) = Actual Controlled Emission Rate (i.e., 69.3% control efficiency)</t>
  </si>
  <si>
    <t>U x (1  -0.693) = 859.8 SO2 tpy</t>
  </si>
  <si>
    <t>U= 2801 SO2 tpy</t>
  </si>
  <si>
    <t>Annual Emissions Reductions:</t>
  </si>
  <si>
    <t>Total Emissions Reductions from operating scrubbers at 90% Control Efficiency (TC)</t>
  </si>
  <si>
    <t>TC = 0.90*U</t>
  </si>
  <si>
    <t>Controlled SO2 Emission Rate (90% Control Efficiency)   (CR)</t>
  </si>
  <si>
    <t>CR = U-TC</t>
  </si>
  <si>
    <t>Annual Emissions Reductions from Increasing Control Efficiency 69.3% to 90%=  (IER)</t>
  </si>
  <si>
    <t>IER=AA-CR</t>
  </si>
  <si>
    <t>Effective Incremental Control Efficiency</t>
  </si>
  <si>
    <t>IER/AA</t>
  </si>
  <si>
    <r>
      <rPr>
        <b/>
        <sz val="10"/>
        <color rgb="FF002060"/>
        <rFont val="Times New Roman"/>
        <family val="1"/>
      </rPr>
      <t>SNCR</t>
    </r>
    <r>
      <rPr>
        <b/>
        <sz val="10"/>
        <color theme="1"/>
        <rFont val="Times New Roman"/>
        <family val="1"/>
      </rPr>
      <t xml:space="preserve"> Capital and O&amp;M Cost Estimate for No. 2 Power Boiler</t>
    </r>
  </si>
  <si>
    <t>Technology</t>
  </si>
  <si>
    <t>SNCR</t>
  </si>
  <si>
    <t>Case 1</t>
  </si>
  <si>
    <t>Case 2</t>
  </si>
  <si>
    <t>Parameters/Costs</t>
  </si>
  <si>
    <r>
      <t>Equation</t>
    </r>
    <r>
      <rPr>
        <vertAlign val="superscript"/>
        <sz val="10"/>
        <color theme="1"/>
        <rFont val="Times New Roman"/>
        <family val="1"/>
      </rPr>
      <t>1</t>
    </r>
  </si>
  <si>
    <t>Unit 2</t>
  </si>
  <si>
    <r>
      <t>Boiler design capacity, mmBtu/hr (Q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>)</t>
    </r>
  </si>
  <si>
    <r>
      <t>Q</t>
    </r>
    <r>
      <rPr>
        <vertAlign val="subscript"/>
        <sz val="10"/>
        <color theme="1"/>
        <rFont val="Times New Roman"/>
        <family val="1"/>
      </rPr>
      <t>B</t>
    </r>
  </si>
  <si>
    <r>
      <t>Total operating time (t</t>
    </r>
    <r>
      <rPr>
        <vertAlign val="subscript"/>
        <sz val="10"/>
        <color theme="1"/>
        <rFont val="Times New Roman"/>
        <family val="1"/>
      </rPr>
      <t>op</t>
    </r>
    <r>
      <rPr>
        <sz val="10"/>
        <color theme="1"/>
        <rFont val="Times New Roman"/>
        <family val="1"/>
      </rPr>
      <t>, hrs/yr)</t>
    </r>
  </si>
  <si>
    <r>
      <t>t</t>
    </r>
    <r>
      <rPr>
        <vertAlign val="subscript"/>
        <sz val="10"/>
        <color theme="1"/>
        <rFont val="Times New Roman"/>
        <family val="1"/>
      </rPr>
      <t>op</t>
    </r>
    <r>
      <rPr>
        <sz val="10"/>
        <color theme="1"/>
        <rFont val="Times New Roman"/>
        <family val="1"/>
      </rPr>
      <t xml:space="preserve"> = CF</t>
    </r>
    <r>
      <rPr>
        <vertAlign val="subscript"/>
        <sz val="10"/>
        <color theme="1"/>
        <rFont val="Times New Roman"/>
        <family val="1"/>
      </rPr>
      <t>total</t>
    </r>
    <r>
      <rPr>
        <sz val="10"/>
        <color theme="1"/>
        <rFont val="Times New Roman"/>
        <family val="1"/>
      </rPr>
      <t xml:space="preserve"> × 8760 hrs/yr</t>
    </r>
  </si>
  <si>
    <r>
      <t>Total Capacity Factor (CF</t>
    </r>
    <r>
      <rPr>
        <vertAlign val="subscript"/>
        <sz val="10"/>
        <color theme="1"/>
        <rFont val="Times New Roman"/>
        <family val="1"/>
      </rPr>
      <t>total</t>
    </r>
    <r>
      <rPr>
        <sz val="10"/>
        <color theme="1"/>
        <rFont val="Times New Roman"/>
        <family val="1"/>
      </rPr>
      <t>)</t>
    </r>
  </si>
  <si>
    <r>
      <t>CF</t>
    </r>
    <r>
      <rPr>
        <vertAlign val="subscript"/>
        <sz val="10"/>
        <color theme="1"/>
        <rFont val="Times New Roman"/>
        <family val="1"/>
      </rPr>
      <t>total</t>
    </r>
    <r>
      <rPr>
        <sz val="10"/>
        <color theme="1"/>
        <rFont val="Times New Roman"/>
        <family val="1"/>
      </rPr>
      <t xml:space="preserve"> = CF</t>
    </r>
    <r>
      <rPr>
        <vertAlign val="subscript"/>
        <sz val="10"/>
        <color theme="1"/>
        <rFont val="Times New Roman"/>
        <family val="1"/>
      </rPr>
      <t xml:space="preserve">plant </t>
    </r>
    <r>
      <rPr>
        <sz val="10"/>
        <color theme="1"/>
        <rFont val="Times New Roman"/>
        <family val="1"/>
      </rPr>
      <t>× CF</t>
    </r>
    <r>
      <rPr>
        <vertAlign val="subscript"/>
        <sz val="10"/>
        <color theme="1"/>
        <rFont val="Times New Roman"/>
        <family val="1"/>
      </rPr>
      <t>SNCR</t>
    </r>
  </si>
  <si>
    <r>
      <t>Plant Capacity Factor (CF</t>
    </r>
    <r>
      <rPr>
        <vertAlign val="subscript"/>
        <sz val="10"/>
        <color theme="1"/>
        <rFont val="Times New Roman"/>
        <family val="1"/>
      </rPr>
      <t>plant</t>
    </r>
    <r>
      <rPr>
        <sz val="10"/>
        <color theme="1"/>
        <rFont val="Times New Roman"/>
        <family val="1"/>
      </rPr>
      <t>)</t>
    </r>
    <r>
      <rPr>
        <vertAlign val="superscript"/>
        <sz val="10"/>
        <color theme="1"/>
        <rFont val="Times New Roman"/>
        <family val="1"/>
      </rPr>
      <t>2</t>
    </r>
  </si>
  <si>
    <r>
      <t>SNCR Capacity Factor (CF</t>
    </r>
    <r>
      <rPr>
        <vertAlign val="subscript"/>
        <sz val="10"/>
        <color theme="1"/>
        <rFont val="Times New Roman"/>
        <family val="1"/>
      </rPr>
      <t>SCNR</t>
    </r>
    <r>
      <rPr>
        <sz val="10"/>
        <color theme="1"/>
        <rFont val="Times New Roman"/>
        <family val="1"/>
      </rPr>
      <t>)</t>
    </r>
    <r>
      <rPr>
        <vertAlign val="superscript"/>
        <sz val="10"/>
        <color theme="1"/>
        <rFont val="Times New Roman"/>
        <family val="1"/>
      </rPr>
      <t>3</t>
    </r>
  </si>
  <si>
    <r>
      <t>CF</t>
    </r>
    <r>
      <rPr>
        <vertAlign val="subscript"/>
        <sz val="10"/>
        <color theme="1"/>
        <rFont val="Times New Roman"/>
        <family val="1"/>
      </rPr>
      <t xml:space="preserve">SNCR </t>
    </r>
    <r>
      <rPr>
        <sz val="10"/>
        <color theme="1"/>
        <rFont val="Times New Roman"/>
        <family val="1"/>
      </rPr>
      <t>= t</t>
    </r>
    <r>
      <rPr>
        <vertAlign val="subscript"/>
        <sz val="10"/>
        <color theme="1"/>
        <rFont val="Times New Roman"/>
        <family val="1"/>
      </rPr>
      <t>SNCR</t>
    </r>
    <r>
      <rPr>
        <sz val="10"/>
        <color theme="1"/>
        <rFont val="Times New Roman"/>
        <family val="1"/>
      </rPr>
      <t xml:space="preserve">/365 </t>
    </r>
  </si>
  <si>
    <r>
      <t>Electricity Cost (Cost</t>
    </r>
    <r>
      <rPr>
        <vertAlign val="subscript"/>
        <sz val="10"/>
        <color theme="1"/>
        <rFont val="Times New Roman"/>
        <family val="1"/>
      </rPr>
      <t>elect</t>
    </r>
    <r>
      <rPr>
        <sz val="10"/>
        <color theme="1"/>
        <rFont val="Times New Roman"/>
        <family val="1"/>
      </rPr>
      <t>, $/kwh)</t>
    </r>
    <r>
      <rPr>
        <vertAlign val="superscript"/>
        <sz val="10"/>
        <color theme="1"/>
        <rFont val="Times New Roman"/>
        <family val="1"/>
      </rPr>
      <t>6</t>
    </r>
  </si>
  <si>
    <r>
      <t>Water Cost (Cost</t>
    </r>
    <r>
      <rPr>
        <vertAlign val="subscript"/>
        <sz val="10"/>
        <color theme="1"/>
        <rFont val="Times New Roman"/>
        <family val="1"/>
      </rPr>
      <t>water</t>
    </r>
    <r>
      <rPr>
        <sz val="10"/>
        <color theme="1"/>
        <rFont val="Times New Roman"/>
        <family val="1"/>
      </rPr>
      <t>, $/gal)</t>
    </r>
    <r>
      <rPr>
        <vertAlign val="superscript"/>
        <sz val="10"/>
        <color theme="1"/>
        <rFont val="Times New Roman"/>
        <family val="1"/>
      </rPr>
      <t>7</t>
    </r>
  </si>
  <si>
    <r>
      <t>Coal Cost (Cost</t>
    </r>
    <r>
      <rPr>
        <vertAlign val="subscript"/>
        <sz val="10"/>
        <color theme="1"/>
        <rFont val="Times New Roman"/>
        <family val="1"/>
      </rPr>
      <t>coal</t>
    </r>
    <r>
      <rPr>
        <sz val="10"/>
        <color theme="1"/>
        <rFont val="Times New Roman"/>
        <family val="1"/>
      </rPr>
      <t>, $/MMBtu)</t>
    </r>
    <r>
      <rPr>
        <vertAlign val="superscript"/>
        <sz val="10"/>
        <color theme="1"/>
        <rFont val="Times New Roman"/>
        <family val="1"/>
      </rPr>
      <t>8</t>
    </r>
  </si>
  <si>
    <r>
      <t>Coal HHV (Btu/lb)</t>
    </r>
    <r>
      <rPr>
        <vertAlign val="superscript"/>
        <sz val="10"/>
        <color theme="1"/>
        <rFont val="Times New Roman"/>
        <family val="1"/>
      </rPr>
      <t>9</t>
    </r>
  </si>
  <si>
    <r>
      <t>Cost of Ash Disposal (C</t>
    </r>
    <r>
      <rPr>
        <vertAlign val="subscript"/>
        <sz val="10"/>
        <color theme="1"/>
        <rFont val="Times New Roman"/>
        <family val="1"/>
      </rPr>
      <t>ash</t>
    </r>
    <r>
      <rPr>
        <sz val="10"/>
        <color theme="1"/>
        <rFont val="Times New Roman"/>
        <family val="1"/>
      </rPr>
      <t>, $/ton)</t>
    </r>
    <r>
      <rPr>
        <vertAlign val="superscript"/>
        <sz val="10"/>
        <color theme="1"/>
        <rFont val="Times New Roman"/>
        <family val="1"/>
      </rPr>
      <t>10</t>
    </r>
  </si>
  <si>
    <t>Capital recovery factor (CRF)</t>
  </si>
  <si>
    <t>CRF = [ I x (1+i)^a]/[(1+i)^a - 1], where I = interest rate, a = equipment life</t>
  </si>
  <si>
    <r>
      <t xml:space="preserve">a.  Equipment CRF, </t>
    </r>
    <r>
      <rPr>
        <sz val="10"/>
        <color rgb="FF002060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-yr life, </t>
    </r>
    <r>
      <rPr>
        <sz val="10"/>
        <color rgb="FFFF0000"/>
        <rFont val="Times New Roman"/>
        <family val="1"/>
      </rPr>
      <t>7% i</t>
    </r>
    <r>
      <rPr>
        <sz val="10"/>
        <color theme="1"/>
        <rFont val="Times New Roman"/>
        <family val="1"/>
      </rPr>
      <t>nterest</t>
    </r>
  </si>
  <si>
    <r>
      <t>Cost Index</t>
    </r>
    <r>
      <rPr>
        <vertAlign val="superscript"/>
        <sz val="10"/>
        <color theme="1"/>
        <rFont val="Times New Roman"/>
        <family val="1"/>
      </rPr>
      <t>11</t>
    </r>
  </si>
  <si>
    <r>
      <t xml:space="preserve">a.  </t>
    </r>
    <r>
      <rPr>
        <sz val="10"/>
        <color rgb="FF002060"/>
        <rFont val="Times New Roman"/>
        <family val="1"/>
      </rPr>
      <t>2019</t>
    </r>
    <r>
      <rPr>
        <sz val="10"/>
        <color theme="1"/>
        <rFont val="Times New Roman"/>
        <family val="1"/>
      </rPr>
      <t xml:space="preserve"> Cost Index</t>
    </r>
  </si>
  <si>
    <t>b. 1998 Cost Index</t>
  </si>
  <si>
    <t xml:space="preserve">Capital Costs </t>
  </si>
  <si>
    <t>Direct Capital Cost (A)</t>
  </si>
  <si>
    <r>
      <t>DC ($) = ($950/MMBtu) × Q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 × ((2375 MMBtu/hr/Q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>)^0.577) × (0.66 + 0.85η</t>
    </r>
    <r>
      <rPr>
        <vertAlign val="subscript"/>
        <sz val="10"/>
        <color theme="1"/>
        <rFont val="Times New Roman"/>
        <family val="1"/>
      </rPr>
      <t>NOx</t>
    </r>
    <r>
      <rPr>
        <sz val="10"/>
        <color theme="1"/>
        <rFont val="Times New Roman"/>
        <family val="1"/>
      </rPr>
      <t>) × (CI</t>
    </r>
    <r>
      <rPr>
        <vertAlign val="subscript"/>
        <sz val="10"/>
        <color theme="1"/>
        <rFont val="Times New Roman"/>
        <family val="1"/>
      </rPr>
      <t>2012</t>
    </r>
    <r>
      <rPr>
        <sz val="10"/>
        <color theme="1"/>
        <rFont val="Times New Roman"/>
        <family val="1"/>
      </rPr>
      <t>/CI</t>
    </r>
    <r>
      <rPr>
        <vertAlign val="subscript"/>
        <sz val="10"/>
        <color theme="1"/>
        <rFont val="Times New Roman"/>
        <family val="1"/>
      </rPr>
      <t>1998</t>
    </r>
    <r>
      <rPr>
        <sz val="10"/>
        <color theme="1"/>
        <rFont val="Times New Roman"/>
        <family val="1"/>
      </rPr>
      <t>)</t>
    </r>
  </si>
  <si>
    <t>Indirect Installation Costs ($)</t>
  </si>
  <si>
    <t>General Facilities</t>
  </si>
  <si>
    <t>0.05 × A</t>
  </si>
  <si>
    <t>Engineering and Home Office Fees</t>
  </si>
  <si>
    <t>0.10 × A</t>
  </si>
  <si>
    <t xml:space="preserve">Process Contingency </t>
  </si>
  <si>
    <t>Total Indirect Installation Costs (B)</t>
  </si>
  <si>
    <t>= General Facilities Cost + Engineering and Home Office Fees + Process Contingency</t>
  </si>
  <si>
    <t>Other Installation Costs ($)</t>
  </si>
  <si>
    <t>Project Contingency (C)</t>
  </si>
  <si>
    <t>C = 0.15 × (A + B)</t>
  </si>
  <si>
    <t>Total Plant Cost (D)</t>
  </si>
  <si>
    <t>D = A + B + C</t>
  </si>
  <si>
    <t>Allowance for Funds During Construction (E)</t>
  </si>
  <si>
    <t>E = 0 (Assumed for SNCR)</t>
  </si>
  <si>
    <t>Royalty Allowance (F)</t>
  </si>
  <si>
    <t>F = 0 (Assumed for SNCR)</t>
  </si>
  <si>
    <t>Preproduction Cost (G)</t>
  </si>
  <si>
    <t>G = 0.02 × (D + E)</t>
  </si>
  <si>
    <r>
      <t>Inventory Capital (H)</t>
    </r>
    <r>
      <rPr>
        <vertAlign val="superscript"/>
        <sz val="10"/>
        <color theme="1"/>
        <rFont val="Times New Roman"/>
        <family val="1"/>
      </rPr>
      <t>12</t>
    </r>
  </si>
  <si>
    <r>
      <t>H = Vol</t>
    </r>
    <r>
      <rPr>
        <vertAlign val="subscript"/>
        <sz val="10"/>
        <color theme="1"/>
        <rFont val="Times New Roman"/>
        <family val="1"/>
      </rPr>
      <t>reagent</t>
    </r>
    <r>
      <rPr>
        <sz val="10"/>
        <color theme="1"/>
        <rFont val="Times New Roman"/>
        <family val="1"/>
      </rPr>
      <t xml:space="preserve"> (gal) × Cost</t>
    </r>
    <r>
      <rPr>
        <vertAlign val="subscript"/>
        <sz val="10"/>
        <color theme="1"/>
        <rFont val="Times New Roman"/>
        <family val="1"/>
      </rPr>
      <t>reagent</t>
    </r>
    <r>
      <rPr>
        <sz val="10"/>
        <color theme="1"/>
        <rFont val="Times New Roman"/>
        <family val="1"/>
      </rPr>
      <t xml:space="preserve"> ($/gal)</t>
    </r>
  </si>
  <si>
    <r>
      <t>Cost</t>
    </r>
    <r>
      <rPr>
        <vertAlign val="subscript"/>
        <sz val="10"/>
        <color theme="1"/>
        <rFont val="Times New Roman"/>
        <family val="1"/>
      </rPr>
      <t>reag</t>
    </r>
    <r>
      <rPr>
        <sz val="10"/>
        <color theme="1"/>
        <rFont val="Times New Roman"/>
        <family val="1"/>
      </rPr>
      <t>, 50% Urea solution ($/gal)</t>
    </r>
    <r>
      <rPr>
        <vertAlign val="superscript"/>
        <sz val="10"/>
        <color theme="1"/>
        <rFont val="Times New Roman"/>
        <family val="1"/>
      </rPr>
      <t>13</t>
    </r>
  </si>
  <si>
    <r>
      <t>Volume of Reagent Tank (Vol</t>
    </r>
    <r>
      <rPr>
        <vertAlign val="subscript"/>
        <sz val="10"/>
        <color theme="1"/>
        <rFont val="Times New Roman"/>
        <family val="1"/>
      </rPr>
      <t>reagent</t>
    </r>
    <r>
      <rPr>
        <sz val="10"/>
        <color theme="1"/>
        <rFont val="Times New Roman"/>
        <family val="1"/>
      </rPr>
      <t xml:space="preserve"> (gal))</t>
    </r>
  </si>
  <si>
    <r>
      <t>Vol</t>
    </r>
    <r>
      <rPr>
        <vertAlign val="subscript"/>
        <sz val="10"/>
        <color theme="1"/>
        <rFont val="Times New Roman"/>
        <family val="1"/>
      </rPr>
      <t>reagent</t>
    </r>
    <r>
      <rPr>
        <sz val="10"/>
        <color theme="1"/>
        <rFont val="Times New Roman"/>
        <family val="1"/>
      </rPr>
      <t xml:space="preserve"> (gal) = q</t>
    </r>
    <r>
      <rPr>
        <vertAlign val="subscript"/>
        <sz val="10"/>
        <color theme="1"/>
        <rFont val="Times New Roman"/>
        <family val="1"/>
      </rPr>
      <t>sol</t>
    </r>
    <r>
      <rPr>
        <sz val="10"/>
        <color theme="1"/>
        <rFont val="Times New Roman"/>
        <family val="1"/>
      </rPr>
      <t xml:space="preserve"> x days of reagent supply × 24 hr/day</t>
    </r>
  </si>
  <si>
    <r>
      <t>Urea solution volumetric flow rate (q</t>
    </r>
    <r>
      <rPr>
        <vertAlign val="subscript"/>
        <sz val="10"/>
        <color theme="1"/>
        <rFont val="Times New Roman"/>
        <family val="1"/>
      </rPr>
      <t>sol</t>
    </r>
    <r>
      <rPr>
        <sz val="10"/>
        <color theme="1"/>
        <rFont val="Times New Roman"/>
        <family val="1"/>
      </rPr>
      <t>, gal/hr)</t>
    </r>
    <r>
      <rPr>
        <vertAlign val="superscript"/>
        <sz val="10"/>
        <color theme="1"/>
        <rFont val="Times New Roman"/>
        <family val="1"/>
      </rPr>
      <t>14</t>
    </r>
  </si>
  <si>
    <t>Estimated by SNCR vendor, Fuel Tech</t>
  </si>
  <si>
    <r>
      <t>Mass flow rate of urea solution (m</t>
    </r>
    <r>
      <rPr>
        <vertAlign val="subscript"/>
        <sz val="10"/>
        <color theme="1"/>
        <rFont val="Times New Roman"/>
        <family val="1"/>
      </rPr>
      <t>sol</t>
    </r>
    <r>
      <rPr>
        <sz val="10"/>
        <color theme="1"/>
        <rFont val="Times New Roman"/>
        <family val="1"/>
      </rPr>
      <t>, lb/hr)</t>
    </r>
    <r>
      <rPr>
        <vertAlign val="superscript"/>
        <sz val="10"/>
        <color theme="1"/>
        <rFont val="Times New Roman"/>
        <family val="1"/>
      </rPr>
      <t>15</t>
    </r>
  </si>
  <si>
    <r>
      <t>Mass flow rate of reagent (m</t>
    </r>
    <r>
      <rPr>
        <vertAlign val="subscript"/>
        <sz val="10"/>
        <color theme="1"/>
        <rFont val="Times New Roman"/>
        <family val="1"/>
      </rPr>
      <t>reagent</t>
    </r>
    <r>
      <rPr>
        <sz val="10"/>
        <color theme="1"/>
        <rFont val="Times New Roman"/>
        <family val="1"/>
      </rPr>
      <t>, lb/hr)</t>
    </r>
    <r>
      <rPr>
        <vertAlign val="superscript"/>
        <sz val="10"/>
        <color theme="1"/>
        <rFont val="Times New Roman"/>
        <family val="1"/>
      </rPr>
      <t>15</t>
    </r>
  </si>
  <si>
    <t>Normalized Stoichiometric Ratio (NSR)</t>
  </si>
  <si>
    <t>Not needed since usage estimates were provided</t>
  </si>
  <si>
    <t>Initial Catalyst and Chemicals (I)</t>
  </si>
  <si>
    <t>I = 0 (Assumed for SNCR due to no catalyst)</t>
  </si>
  <si>
    <t xml:space="preserve">Total Capital Investment (TCI) (Capital Cost) </t>
  </si>
  <si>
    <t>TCI = D + E + F + G + H + I</t>
  </si>
  <si>
    <t>Annual Costs ($)</t>
  </si>
  <si>
    <t>Annual Maintenance Cost (J)</t>
  </si>
  <si>
    <t>J = 0.015 × TCI</t>
  </si>
  <si>
    <t>Annual Reagent Cost (K)</t>
  </si>
  <si>
    <r>
      <t>K = q</t>
    </r>
    <r>
      <rPr>
        <vertAlign val="subscript"/>
        <sz val="10"/>
        <color theme="1"/>
        <rFont val="Times New Roman"/>
        <family val="1"/>
      </rPr>
      <t>sol</t>
    </r>
    <r>
      <rPr>
        <sz val="10"/>
        <color theme="1"/>
        <rFont val="Times New Roman"/>
        <family val="1"/>
      </rPr>
      <t xml:space="preserve"> × Cost</t>
    </r>
    <r>
      <rPr>
        <vertAlign val="subscript"/>
        <sz val="10"/>
        <color theme="1"/>
        <rFont val="Times New Roman"/>
        <family val="1"/>
      </rPr>
      <t>reag</t>
    </r>
    <r>
      <rPr>
        <sz val="10"/>
        <color theme="1"/>
        <rFont val="Times New Roman"/>
        <family val="1"/>
      </rPr>
      <t xml:space="preserve"> × t</t>
    </r>
    <r>
      <rPr>
        <vertAlign val="subscript"/>
        <sz val="10"/>
        <color theme="1"/>
        <rFont val="Times New Roman"/>
        <family val="1"/>
      </rPr>
      <t>op</t>
    </r>
  </si>
  <si>
    <t>Annual Electricity Cost (L)</t>
  </si>
  <si>
    <t>Not Estimated</t>
  </si>
  <si>
    <t>Power (P, kW)</t>
  </si>
  <si>
    <t>Annual Water Cost (M)</t>
  </si>
  <si>
    <r>
      <t>M = q</t>
    </r>
    <r>
      <rPr>
        <vertAlign val="subscript"/>
        <sz val="10"/>
        <color theme="1"/>
        <rFont val="Times New Roman"/>
        <family val="1"/>
      </rPr>
      <t>water</t>
    </r>
    <r>
      <rPr>
        <sz val="10"/>
        <color theme="1"/>
        <rFont val="Times New Roman"/>
        <family val="1"/>
      </rPr>
      <t xml:space="preserve"> × Cost</t>
    </r>
    <r>
      <rPr>
        <vertAlign val="subscript"/>
        <sz val="10"/>
        <color theme="1"/>
        <rFont val="Times New Roman"/>
        <family val="1"/>
      </rPr>
      <t>water</t>
    </r>
    <r>
      <rPr>
        <sz val="10"/>
        <color theme="1"/>
        <rFont val="Times New Roman"/>
        <family val="1"/>
      </rPr>
      <t xml:space="preserve"> × t</t>
    </r>
    <r>
      <rPr>
        <vertAlign val="subscript"/>
        <sz val="10"/>
        <color theme="1"/>
        <rFont val="Times New Roman"/>
        <family val="1"/>
      </rPr>
      <t>op</t>
    </r>
  </si>
  <si>
    <r>
      <t>Water flowrate for SNCR system (q</t>
    </r>
    <r>
      <rPr>
        <vertAlign val="subscript"/>
        <sz val="10"/>
        <color theme="1"/>
        <rFont val="Times New Roman"/>
        <family val="1"/>
      </rPr>
      <t>water</t>
    </r>
    <r>
      <rPr>
        <sz val="10"/>
        <color theme="1"/>
        <rFont val="Times New Roman"/>
        <family val="1"/>
      </rPr>
      <t>, gal/hr)</t>
    </r>
    <r>
      <rPr>
        <vertAlign val="superscript"/>
        <sz val="10"/>
        <color theme="1"/>
        <rFont val="Times New Roman"/>
        <family val="1"/>
      </rPr>
      <t>17</t>
    </r>
  </si>
  <si>
    <r>
      <t>q</t>
    </r>
    <r>
      <rPr>
        <vertAlign val="subscript"/>
        <sz val="10"/>
        <color theme="1"/>
        <rFont val="Times New Roman"/>
        <family val="1"/>
      </rPr>
      <t>water</t>
    </r>
    <r>
      <rPr>
        <sz val="10"/>
        <color theme="1"/>
        <rFont val="Times New Roman"/>
        <family val="1"/>
      </rPr>
      <t xml:space="preserve"> = (m</t>
    </r>
    <r>
      <rPr>
        <vertAlign val="subscript"/>
        <sz val="10"/>
        <color theme="1"/>
        <rFont val="Times New Roman"/>
        <family val="1"/>
      </rPr>
      <t>sol</t>
    </r>
    <r>
      <rPr>
        <sz val="10"/>
        <color theme="1"/>
        <rFont val="Times New Roman"/>
        <family val="1"/>
      </rPr>
      <t>/ρ</t>
    </r>
    <r>
      <rPr>
        <vertAlign val="subscript"/>
        <sz val="10"/>
        <color theme="1"/>
        <rFont val="Times New Roman"/>
        <family val="1"/>
      </rPr>
      <t>water</t>
    </r>
    <r>
      <rPr>
        <sz val="10"/>
        <color theme="1"/>
        <rFont val="Times New Roman"/>
        <family val="1"/>
      </rPr>
      <t>) × [(C</t>
    </r>
    <r>
      <rPr>
        <vertAlign val="subscript"/>
        <sz val="10"/>
        <color theme="1"/>
        <rFont val="Times New Roman"/>
        <family val="1"/>
      </rPr>
      <t>ureasolstored</t>
    </r>
    <r>
      <rPr>
        <sz val="10"/>
        <color theme="1"/>
        <rFont val="Times New Roman"/>
        <family val="1"/>
      </rPr>
      <t>/C</t>
    </r>
    <r>
      <rPr>
        <vertAlign val="subscript"/>
        <sz val="10"/>
        <color theme="1"/>
        <rFont val="Times New Roman"/>
        <family val="1"/>
      </rPr>
      <t>ureasolinj</t>
    </r>
    <r>
      <rPr>
        <sz val="10"/>
        <color theme="1"/>
        <rFont val="Times New Roman"/>
        <family val="1"/>
      </rPr>
      <t>) - 1]</t>
    </r>
  </si>
  <si>
    <t>Annual ΔCoal Cost (N)</t>
  </si>
  <si>
    <r>
      <t>N = ΔCoal × Cost</t>
    </r>
    <r>
      <rPr>
        <vertAlign val="subscript"/>
        <sz val="10"/>
        <color theme="1"/>
        <rFont val="Times New Roman"/>
        <family val="1"/>
      </rPr>
      <t>coal</t>
    </r>
    <r>
      <rPr>
        <sz val="10"/>
        <color theme="1"/>
        <rFont val="Times New Roman"/>
        <family val="1"/>
      </rPr>
      <t xml:space="preserve"> × t</t>
    </r>
    <r>
      <rPr>
        <vertAlign val="subscript"/>
        <sz val="10"/>
        <color theme="1"/>
        <rFont val="Times New Roman"/>
        <family val="1"/>
      </rPr>
      <t>op</t>
    </r>
    <r>
      <rPr>
        <sz val="10"/>
        <color theme="1"/>
        <rFont val="Times New Roman"/>
        <family val="1"/>
      </rPr>
      <t xml:space="preserve">  </t>
    </r>
  </si>
  <si>
    <r>
      <t>Additional coal required (ΔCoal, MMBtu/hr)</t>
    </r>
    <r>
      <rPr>
        <vertAlign val="superscript"/>
        <sz val="10"/>
        <color theme="1"/>
        <rFont val="Times New Roman"/>
        <family val="1"/>
      </rPr>
      <t>18</t>
    </r>
  </si>
  <si>
    <r>
      <t>ΔCoal = (Hv × m</t>
    </r>
    <r>
      <rPr>
        <vertAlign val="subscript"/>
        <sz val="10"/>
        <color theme="1"/>
        <rFont val="Times New Roman"/>
        <family val="1"/>
      </rPr>
      <t>reagent</t>
    </r>
    <r>
      <rPr>
        <sz val="10"/>
        <color theme="1"/>
        <rFont val="Times New Roman"/>
        <family val="1"/>
      </rPr>
      <t xml:space="preserve"> × [(1/C</t>
    </r>
    <r>
      <rPr>
        <vertAlign val="subscript"/>
        <sz val="10"/>
        <color theme="1"/>
        <rFont val="Times New Roman"/>
        <family val="1"/>
      </rPr>
      <t>ureasolinj</t>
    </r>
    <r>
      <rPr>
        <sz val="10"/>
        <color theme="1"/>
        <rFont val="Times New Roman"/>
        <family val="1"/>
      </rPr>
      <t>) - 1])/10</t>
    </r>
    <r>
      <rPr>
        <vertAlign val="super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 xml:space="preserve"> Btu/MMBtu</t>
    </r>
  </si>
  <si>
    <t>Annual ΔAsh Cost (O)</t>
  </si>
  <si>
    <r>
      <t>O = (ΔAsh × Cost</t>
    </r>
    <r>
      <rPr>
        <vertAlign val="subscript"/>
        <sz val="10"/>
        <color theme="1"/>
        <rFont val="Times New Roman"/>
        <family val="1"/>
      </rPr>
      <t>ash</t>
    </r>
    <r>
      <rPr>
        <sz val="10"/>
        <color theme="1"/>
        <rFont val="Times New Roman"/>
        <family val="1"/>
      </rPr>
      <t xml:space="preserve"> × t</t>
    </r>
    <r>
      <rPr>
        <vertAlign val="subscript"/>
        <sz val="10"/>
        <color theme="1"/>
        <rFont val="Times New Roman"/>
        <family val="1"/>
      </rPr>
      <t>op</t>
    </r>
    <r>
      <rPr>
        <sz val="10"/>
        <color theme="1"/>
        <rFont val="Times New Roman"/>
        <family val="1"/>
      </rPr>
      <t>)/2000 lb/ton</t>
    </r>
  </si>
  <si>
    <r>
      <t>Additional ash generated (ΔAsh , lb/hr)</t>
    </r>
    <r>
      <rPr>
        <vertAlign val="superscript"/>
        <sz val="10"/>
        <color theme="1"/>
        <rFont val="Times New Roman"/>
        <family val="1"/>
      </rPr>
      <t>19</t>
    </r>
  </si>
  <si>
    <r>
      <t>ΔAsh = (ΔCoal × ashproduct × 10</t>
    </r>
    <r>
      <rPr>
        <vertAlign val="super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 xml:space="preserve"> Btu/MMBtu)/HHV</t>
    </r>
  </si>
  <si>
    <t>Direct Annual Costs (DAC)/Variable O&amp;M</t>
  </si>
  <si>
    <t xml:space="preserve">DAC = J + K + L + M + N + O  </t>
  </si>
  <si>
    <t>Indirect Annual Costs (IDAC)/Annualized Capital Cost</t>
  </si>
  <si>
    <t>IDAC = CFR × TCI</t>
  </si>
  <si>
    <t>Total Annualized Costs (TAC)</t>
  </si>
  <si>
    <t>TAC = DAC + IDAC</t>
  </si>
  <si>
    <t>Removal Efficiency When Operating</t>
  </si>
  <si>
    <t>Post-Control Emissions (tpy)</t>
  </si>
  <si>
    <t>Post-Control Emissions (lb/MMBtu)</t>
  </si>
  <si>
    <r>
      <t xml:space="preserve">Based on </t>
    </r>
    <r>
      <rPr>
        <b/>
        <i/>
        <sz val="10"/>
        <color rgb="FF002060"/>
        <rFont val="Times New Roman"/>
        <family val="1"/>
      </rPr>
      <t>average Annual</t>
    </r>
    <r>
      <rPr>
        <b/>
        <sz val="10"/>
        <color rgb="FF002060"/>
        <rFont val="Times New Roman"/>
        <family val="1"/>
      </rPr>
      <t xml:space="preserve"> Emission Rates:</t>
    </r>
  </si>
  <si>
    <t>Total Uncontrolled NOx Emissions (tpy)</t>
  </si>
  <si>
    <t>Pollutant Removed (tpy)</t>
  </si>
  <si>
    <t>Cost Effectiveness ($/ton removed)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</si>
  <si>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All SNCR costing equations from EPA Air Pollution Control Cost Manual (APCCM), 6th Edition (January 2002)</t>
    </r>
  </si>
  <si>
    <r>
      <rPr>
        <vertAlign val="superscript"/>
        <sz val="10"/>
        <color theme="1"/>
        <rFont val="Times New Roman"/>
        <family val="1"/>
      </rPr>
      <t xml:space="preserve">2 </t>
    </r>
    <r>
      <rPr>
        <sz val="10"/>
        <color theme="1"/>
        <rFont val="Times New Roman"/>
        <family val="1"/>
      </rPr>
      <t>Average from 2001 - 2003.</t>
    </r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</si>
  <si>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t</t>
    </r>
    <r>
      <rPr>
        <vertAlign val="subscript"/>
        <sz val="10"/>
        <color theme="1"/>
        <rFont val="Times New Roman"/>
        <family val="1"/>
      </rPr>
      <t>SCNR</t>
    </r>
    <r>
      <rPr>
        <sz val="10"/>
        <color theme="1"/>
        <rFont val="Times New Roman"/>
        <family val="1"/>
      </rPr>
      <t xml:space="preserve"> for case 1 assumed to be 25.55 days (7% of 365)</t>
    </r>
  </si>
  <si>
    <t>tSCNR for case 2 assumed to be 365 days (365 of 365)</t>
  </si>
  <si>
    <r>
      <rPr>
        <vertAlign val="superscript"/>
        <sz val="10"/>
        <color theme="1"/>
        <rFont val="Times New Roman"/>
        <family val="1"/>
      </rPr>
      <t xml:space="preserve">5 </t>
    </r>
    <r>
      <rPr>
        <sz val="10"/>
        <color theme="1"/>
        <rFont val="Times New Roman"/>
        <family val="1"/>
      </rPr>
      <t>Baseline.</t>
    </r>
  </si>
  <si>
    <r>
      <rPr>
        <vertAlign val="super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 xml:space="preserve"> Electricity cost form Arkansas Industrial Energy Clearinghouse, http://www.arkansasiec.org/newsmanager/templates/?a=71&amp;z=1</t>
    </r>
  </si>
  <si>
    <r>
      <rPr>
        <vertAlign val="superscript"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 xml:space="preserve"> Water cost estimate from Ashdown Mill 2013 Budget.</t>
    </r>
  </si>
  <si>
    <r>
      <rPr>
        <vertAlign val="superscript"/>
        <sz val="10"/>
        <color theme="1"/>
        <rFont val="Times New Roman"/>
        <family val="1"/>
      </rPr>
      <t xml:space="preserve">8 </t>
    </r>
    <r>
      <rPr>
        <sz val="10"/>
        <color theme="1"/>
        <rFont val="Times New Roman"/>
        <family val="1"/>
      </rPr>
      <t>Cost of coal from Lazard's 2009 Levelized Cost of Energy Analysis (LCOE)</t>
    </r>
  </si>
  <si>
    <r>
      <rPr>
        <vertAlign val="superscript"/>
        <sz val="10"/>
        <color theme="1"/>
        <rFont val="Times New Roman"/>
        <family val="1"/>
      </rPr>
      <t>9</t>
    </r>
    <r>
      <rPr>
        <sz val="10"/>
        <color theme="1"/>
        <rFont val="Times New Roman"/>
        <family val="1"/>
      </rPr>
      <t xml:space="preserve"> Average from 2001 - 2003.</t>
    </r>
  </si>
  <si>
    <r>
      <rPr>
        <vertAlign val="superscript"/>
        <sz val="10"/>
        <color theme="1"/>
        <rFont val="Times New Roman"/>
        <family val="1"/>
      </rPr>
      <t>10</t>
    </r>
    <r>
      <rPr>
        <sz val="10"/>
        <color theme="1"/>
        <rFont val="Times New Roman"/>
        <family val="1"/>
      </rPr>
      <t xml:space="preserve"> Ash disposal cost estimate from contracts for ash transport, end use (as soil amendment), and ash pond management.</t>
    </r>
  </si>
  <si>
    <r>
      <rPr>
        <vertAlign val="superscript"/>
        <sz val="10"/>
        <color theme="1"/>
        <rFont val="Times New Roman"/>
        <family val="1"/>
      </rPr>
      <t>11</t>
    </r>
    <r>
      <rPr>
        <sz val="10"/>
        <color theme="1"/>
        <rFont val="Times New Roman"/>
        <family val="1"/>
      </rPr>
      <t xml:space="preserve"> From Chemical Engineering Plant Cost Index (CEPCI) </t>
    </r>
  </si>
  <si>
    <r>
      <rPr>
        <vertAlign val="superscript"/>
        <sz val="10"/>
        <color theme="1"/>
        <rFont val="Times New Roman"/>
        <family val="1"/>
      </rPr>
      <t>12</t>
    </r>
    <r>
      <rPr>
        <sz val="10"/>
        <color theme="1"/>
        <rFont val="Times New Roman"/>
        <family val="1"/>
      </rPr>
      <t xml:space="preserve"> Cost for urea stored on site, i.e., the first fill of the reagent tanks.  </t>
    </r>
  </si>
  <si>
    <r>
      <rPr>
        <vertAlign val="superscript"/>
        <sz val="10"/>
        <color theme="1"/>
        <rFont val="Times New Roman"/>
        <family val="1"/>
      </rPr>
      <t xml:space="preserve">13 </t>
    </r>
    <r>
      <rPr>
        <sz val="10"/>
        <color theme="1"/>
        <rFont val="Times New Roman"/>
        <family val="1"/>
      </rPr>
      <t>Five-yr average urea cost = $373/metric ton, from http://www.indexmundi.com/commodities/?commodity=urea&amp;months=180.  Confirmed as an accurate price with a local supplier, CDI, Inc. (Corporate office: Brea, CA; Local distribution point: Crossett, AR) on January 27, 2014.
Density of 50% urea solution = 9.5 lb/gal (50% urea solution) based on EPA APCCM, 2002.</t>
    </r>
  </si>
  <si>
    <r>
      <rPr>
        <vertAlign val="superscript"/>
        <sz val="10"/>
        <color theme="1"/>
        <rFont val="Times New Roman"/>
        <family val="1"/>
      </rPr>
      <t>14</t>
    </r>
    <r>
      <rPr>
        <sz val="10"/>
        <color theme="1"/>
        <rFont val="Times New Roman"/>
        <family val="1"/>
      </rPr>
      <t xml:space="preserve"> ρ</t>
    </r>
    <r>
      <rPr>
        <vertAlign val="subscript"/>
        <sz val="10"/>
        <color theme="1"/>
        <rFont val="Times New Roman"/>
        <family val="1"/>
      </rPr>
      <t>reagent</t>
    </r>
    <r>
      <rPr>
        <sz val="10"/>
        <color theme="1"/>
        <rFont val="Times New Roman"/>
        <family val="1"/>
      </rPr>
      <t xml:space="preserve"> = 71.0 lb/ft</t>
    </r>
    <r>
      <rPr>
        <vertAlign val="superscript"/>
        <sz val="10"/>
        <color theme="1"/>
        <rFont val="Times New Roman"/>
        <family val="1"/>
      </rPr>
      <t>3</t>
    </r>
  </si>
  <si>
    <r>
      <rPr>
        <vertAlign val="superscript"/>
        <sz val="10"/>
        <color theme="1"/>
        <rFont val="Times New Roman"/>
        <family val="1"/>
      </rPr>
      <t>15</t>
    </r>
    <r>
      <rPr>
        <sz val="10"/>
        <color theme="1"/>
        <rFont val="Times New Roman"/>
        <family val="1"/>
      </rPr>
      <t xml:space="preserve"> C</t>
    </r>
    <r>
      <rPr>
        <vertAlign val="subscript"/>
        <sz val="10"/>
        <color theme="1"/>
        <rFont val="Times New Roman"/>
        <family val="1"/>
      </rPr>
      <t>ureasol</t>
    </r>
    <r>
      <rPr>
        <sz val="10"/>
        <color theme="1"/>
        <rFont val="Times New Roman"/>
        <family val="1"/>
      </rPr>
      <t xml:space="preserve"> = urea solution concentration = 50%</t>
    </r>
  </si>
  <si>
    <r>
      <rPr>
        <vertAlign val="superscript"/>
        <sz val="10"/>
        <color theme="1"/>
        <rFont val="Times New Roman"/>
        <family val="1"/>
      </rPr>
      <t>17</t>
    </r>
    <r>
      <rPr>
        <sz val="10"/>
        <color theme="1"/>
        <rFont val="Times New Roman"/>
        <family val="1"/>
      </rPr>
      <t xml:space="preserve"> Concentration of stored urea, C</t>
    </r>
    <r>
      <rPr>
        <vertAlign val="subscript"/>
        <sz val="10"/>
        <color theme="1"/>
        <rFont val="Times New Roman"/>
        <family val="1"/>
      </rPr>
      <t>ureasolstored</t>
    </r>
    <r>
      <rPr>
        <sz val="10"/>
        <color theme="1"/>
        <rFont val="Times New Roman"/>
        <family val="1"/>
      </rPr>
      <t xml:space="preserve"> = 50%
    Concentration of urea injected into SNCR system, C</t>
    </r>
    <r>
      <rPr>
        <vertAlign val="subscript"/>
        <sz val="10"/>
        <color theme="1"/>
        <rFont val="Times New Roman"/>
        <family val="1"/>
      </rPr>
      <t>ureasolinj</t>
    </r>
    <r>
      <rPr>
        <sz val="10"/>
        <color theme="1"/>
        <rFont val="Times New Roman"/>
        <family val="1"/>
      </rPr>
      <t xml:space="preserve"> = 10%
    From EPA APCCM, 2002</t>
    </r>
  </si>
  <si>
    <r>
      <rPr>
        <vertAlign val="superscript"/>
        <sz val="10"/>
        <color theme="1"/>
        <rFont val="Times New Roman"/>
        <family val="1"/>
      </rPr>
      <t>18</t>
    </r>
    <r>
      <rPr>
        <sz val="10"/>
        <color theme="1"/>
        <rFont val="Times New Roman"/>
        <family val="1"/>
      </rPr>
      <t xml:space="preserve"> Approximate heat of vaporization of water at 310°F, Hv = 900 Btu/lb
    From EPA APCCM, 2002</t>
    </r>
  </si>
  <si>
    <r>
      <rPr>
        <vertAlign val="superscript"/>
        <sz val="10"/>
        <color theme="1"/>
        <rFont val="Times New Roman"/>
        <family val="1"/>
      </rPr>
      <t xml:space="preserve">19 </t>
    </r>
    <r>
      <rPr>
        <sz val="10"/>
        <color theme="1"/>
        <rFont val="Times New Roman"/>
        <family val="1"/>
      </rPr>
      <t>Ashproduct is the fraction of ash produced as a byproduct of burning a given type of coal.  Assumed ashproduct = 0.075 from EPA APCCM, 2002 for subbituminous coal.</t>
    </r>
  </si>
  <si>
    <r>
      <rPr>
        <b/>
        <sz val="10"/>
        <color rgb="FF002060"/>
        <rFont val="Times New Roman"/>
        <family val="1"/>
      </rPr>
      <t>SNCR</t>
    </r>
    <r>
      <rPr>
        <b/>
        <sz val="10"/>
        <color theme="1"/>
        <rFont val="Times New Roman"/>
        <family val="1"/>
      </rPr>
      <t xml:space="preserve"> Capital and O&amp;M Cost Estimate for No. 3 Power Boiler</t>
    </r>
  </si>
  <si>
    <t>Unit 3</t>
  </si>
  <si>
    <t>a.  Equipment CRF, 20-yr life, 7% interest</t>
  </si>
  <si>
    <r>
      <t>DC ($) = ($950/MMBtu) × Q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 × ((2375 MMBtu/hr/Q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>)^0.577) × (0.66 + 0.85η</t>
    </r>
    <r>
      <rPr>
        <vertAlign val="subscript"/>
        <sz val="10"/>
        <color theme="1"/>
        <rFont val="Times New Roman"/>
        <family val="1"/>
      </rPr>
      <t>NOx</t>
    </r>
    <r>
      <rPr>
        <sz val="10"/>
        <color theme="1"/>
        <rFont val="Times New Roman"/>
        <family val="1"/>
      </rPr>
      <t>) × (CI</t>
    </r>
    <r>
      <rPr>
        <vertAlign val="subscript"/>
        <sz val="10"/>
        <color theme="1"/>
        <rFont val="Times New Roman"/>
        <family val="1"/>
      </rPr>
      <t>2011</t>
    </r>
    <r>
      <rPr>
        <sz val="10"/>
        <color theme="1"/>
        <rFont val="Times New Roman"/>
        <family val="1"/>
      </rPr>
      <t>/CI</t>
    </r>
    <r>
      <rPr>
        <vertAlign val="subscript"/>
        <sz val="10"/>
        <color theme="1"/>
        <rFont val="Times New Roman"/>
        <family val="1"/>
      </rPr>
      <t>1998</t>
    </r>
    <r>
      <rPr>
        <sz val="10"/>
        <color theme="1"/>
        <rFont val="Times New Roman"/>
        <family val="1"/>
      </rPr>
      <t>)</t>
    </r>
  </si>
  <si>
    <t>Removal Efficiency</t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</si>
  <si>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Case 1 t</t>
    </r>
    <r>
      <rPr>
        <vertAlign val="subscript"/>
        <sz val="10"/>
        <color theme="1"/>
        <rFont val="Times New Roman"/>
        <family val="1"/>
      </rPr>
      <t>SCNR</t>
    </r>
    <r>
      <rPr>
        <sz val="10"/>
        <color theme="1"/>
        <rFont val="Times New Roman"/>
        <family val="1"/>
      </rPr>
      <t xml:space="preserve"> assumed to be 25.55 days (7% of 365)</t>
    </r>
  </si>
  <si>
    <t>Case 2 tSCNR assumed to be 365 days</t>
  </si>
  <si>
    <t>Year (n)</t>
  </si>
  <si>
    <t>CEPCI Index Value</t>
  </si>
  <si>
    <r>
      <t>Cost Index Ratio (Value</t>
    </r>
    <r>
      <rPr>
        <vertAlign val="subscript"/>
        <sz val="11"/>
        <color theme="1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>/Value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</si>
</sst>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.00000"/>
    <numFmt numFmtId="167" formatCode="0.0000"/>
    <numFmt numFmtId="168" formatCode="0.0"/>
    <numFmt numFmtId="169" formatCode="&quot;$&quot;#,##0"/>
    <numFmt numFmtId="170" formatCode="#,##0.0"/>
    <numFmt numFmtId="171" formatCode="0.0%"/>
    <numFmt numFmtId="172" formatCode="0.000"/>
    <numFmt numFmtId="173" formatCode="&quot;$&quot;#,##0.00\ ;\(&quot;$&quot;#,##0.00\)"/>
    <numFmt numFmtId="174" formatCode="&quot;$&quot;#,##0\ ;\(&quot;$&quot;#,##0\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2060"/>
      <name val="Times New Roman"/>
      <family val="1"/>
    </font>
    <font>
      <b/>
      <i/>
      <sz val="11"/>
      <color rgb="FF7F7F7F"/>
      <name val="Calibri"/>
      <family val="2"/>
      <scheme val="minor"/>
    </font>
    <font>
      <vertAlign val="superscript"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0"/>
      <name val="Times New Roman"/>
      <family val="1"/>
    </font>
    <font>
      <sz val="10"/>
      <color rgb="FF002060"/>
      <name val="Times New Roman"/>
      <family val="1"/>
    </font>
    <font>
      <sz val="10"/>
      <name val="Arial"/>
      <family val="2"/>
    </font>
    <font>
      <b/>
      <i/>
      <sz val="10"/>
      <color rgb="FF00206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color indexed="2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color indexed="24"/>
      <name val="Arial"/>
      <family val="2"/>
    </font>
    <font>
      <b/>
      <sz val="12"/>
      <name val="Arial"/>
      <family val="2"/>
    </font>
    <font>
      <sz val="8"/>
      <color indexed="24"/>
      <name val="Arial"/>
      <family val="2"/>
    </font>
    <font>
      <sz val="11"/>
      <name val="Times New Roman"/>
      <family val="1"/>
    </font>
    <font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 style="double">
        <color indexed="64"/>
      </top>
      <bottom/>
      <diagonal/>
    </border>
  </borders>
  <cellStyleXfs count="1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Font="0" applyFill="0" applyBorder="0" applyAlignment="0" applyProtection="0"/>
    <xf numFmtId="2" fontId="19" fillId="0" borderId="0" applyProtection="0"/>
    <xf numFmtId="2" fontId="19" fillId="0" borderId="0" applyProtection="0"/>
    <xf numFmtId="2" fontId="19" fillId="0" borderId="0" applyProtection="0"/>
    <xf numFmtId="2" fontId="18" fillId="0" borderId="0" applyFont="0" applyFill="0" applyBorder="0" applyAlignment="0" applyProtection="0"/>
    <xf numFmtId="0" fontId="20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23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14" fillId="0" borderId="0"/>
    <xf numFmtId="0" fontId="14" fillId="0" borderId="0"/>
    <xf numFmtId="0" fontId="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9" fillId="0" borderId="50" applyProtection="0"/>
    <xf numFmtId="0" fontId="18" fillId="0" borderId="51" applyNumberFormat="0" applyFont="0" applyFill="0" applyAlignment="0" applyProtection="0"/>
  </cellStyleXfs>
  <cellXfs count="14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3" xfId="1" applyFont="1" applyBorder="1"/>
    <xf numFmtId="164" fontId="0" fillId="0" borderId="3" xfId="1" applyNumberFormat="1" applyFont="1" applyBorder="1"/>
    <xf numFmtId="43" fontId="0" fillId="0" borderId="3" xfId="1" applyNumberFormat="1" applyFont="1" applyBorder="1"/>
    <xf numFmtId="0" fontId="0" fillId="0" borderId="0" xfId="0" applyFill="1"/>
    <xf numFmtId="164" fontId="0" fillId="0" borderId="0" xfId="1" applyNumberFormat="1" applyFont="1" applyFill="1" applyBorder="1"/>
    <xf numFmtId="0" fontId="0" fillId="0" borderId="0" xfId="0" applyBorder="1"/>
    <xf numFmtId="0" fontId="3" fillId="0" borderId="0" xfId="0" applyFont="1"/>
    <xf numFmtId="10" fontId="0" fillId="0" borderId="0" xfId="0" applyNumberFormat="1" applyFill="1"/>
    <xf numFmtId="0" fontId="0" fillId="0" borderId="0" xfId="0" applyBorder="1" applyAlignment="1">
      <alignment horizontal="center"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6" fillId="0" borderId="6" xfId="0" applyFont="1" applyBorder="1"/>
    <xf numFmtId="0" fontId="7" fillId="0" borderId="0" xfId="0" applyFont="1"/>
    <xf numFmtId="0" fontId="6" fillId="0" borderId="0" xfId="0" applyFont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7" fillId="2" borderId="14" xfId="0" applyFont="1" applyFill="1" applyBorder="1"/>
    <xf numFmtId="0" fontId="6" fillId="2" borderId="15" xfId="0" applyFont="1" applyFill="1" applyBorder="1"/>
    <xf numFmtId="0" fontId="6" fillId="2" borderId="0" xfId="0" applyFont="1" applyFill="1" applyBorder="1"/>
    <xf numFmtId="0" fontId="6" fillId="2" borderId="16" xfId="0" applyFont="1" applyFill="1" applyBorder="1"/>
    <xf numFmtId="0" fontId="7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2" fillId="2" borderId="19" xfId="3" applyFill="1" applyBorder="1" applyAlignment="1">
      <alignment horizontal="center"/>
    </xf>
    <xf numFmtId="0" fontId="9" fillId="2" borderId="19" xfId="3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23" xfId="0" applyFont="1" applyFill="1" applyBorder="1"/>
    <xf numFmtId="0" fontId="6" fillId="2" borderId="2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5" xfId="0" applyFont="1" applyFill="1" applyBorder="1"/>
    <xf numFmtId="0" fontId="6" fillId="2" borderId="26" xfId="0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6" fillId="2" borderId="27" xfId="0" applyFont="1" applyFill="1" applyBorder="1"/>
    <xf numFmtId="0" fontId="6" fillId="2" borderId="0" xfId="0" applyFont="1" applyFill="1" applyBorder="1" applyAlignment="1">
      <alignment horizontal="center"/>
    </xf>
    <xf numFmtId="165" fontId="6" fillId="2" borderId="16" xfId="0" applyNumberFormat="1" applyFont="1" applyFill="1" applyBorder="1" applyAlignment="1">
      <alignment horizontal="center"/>
    </xf>
    <xf numFmtId="166" fontId="12" fillId="0" borderId="16" xfId="0" applyNumberFormat="1" applyFont="1" applyFill="1" applyBorder="1" applyAlignment="1">
      <alignment horizontal="center"/>
    </xf>
    <xf numFmtId="165" fontId="12" fillId="0" borderId="16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/>
    </xf>
    <xf numFmtId="0" fontId="6" fillId="0" borderId="28" xfId="0" applyFont="1" applyFill="1" applyBorder="1"/>
    <xf numFmtId="0" fontId="6" fillId="0" borderId="29" xfId="0" applyFont="1" applyFill="1" applyBorder="1" applyAlignment="1">
      <alignment horizontal="center" wrapText="1"/>
    </xf>
    <xf numFmtId="0" fontId="6" fillId="0" borderId="31" xfId="0" applyFont="1" applyBorder="1"/>
    <xf numFmtId="0" fontId="6" fillId="0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0" borderId="28" xfId="0" applyFont="1" applyBorder="1"/>
    <xf numFmtId="0" fontId="6" fillId="2" borderId="34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0" borderId="35" xfId="0" applyFont="1" applyFill="1" applyBorder="1"/>
    <xf numFmtId="0" fontId="13" fillId="2" borderId="0" xfId="0" applyFont="1" applyFill="1" applyBorder="1" applyAlignment="1">
      <alignment horizontal="center"/>
    </xf>
    <xf numFmtId="0" fontId="6" fillId="0" borderId="36" xfId="0" applyFont="1" applyFill="1" applyBorder="1"/>
    <xf numFmtId="168" fontId="6" fillId="2" borderId="37" xfId="0" applyNumberFormat="1" applyFont="1" applyFill="1" applyBorder="1" applyAlignment="1">
      <alignment horizontal="center"/>
    </xf>
    <xf numFmtId="0" fontId="7" fillId="0" borderId="38" xfId="0" applyFont="1" applyFill="1" applyBorder="1"/>
    <xf numFmtId="0" fontId="7" fillId="0" borderId="39" xfId="0" applyFont="1" applyFill="1" applyBorder="1"/>
    <xf numFmtId="169" fontId="6" fillId="0" borderId="40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169" fontId="6" fillId="0" borderId="30" xfId="0" applyNumberFormat="1" applyFont="1" applyFill="1" applyBorder="1" applyAlignment="1">
      <alignment horizontal="center"/>
    </xf>
    <xf numFmtId="0" fontId="6" fillId="2" borderId="42" xfId="0" applyFont="1" applyFill="1" applyBorder="1"/>
    <xf numFmtId="0" fontId="6" fillId="2" borderId="43" xfId="0" applyFont="1" applyFill="1" applyBorder="1"/>
    <xf numFmtId="0" fontId="6" fillId="2" borderId="44" xfId="0" applyFont="1" applyFill="1" applyBorder="1"/>
    <xf numFmtId="169" fontId="6" fillId="2" borderId="16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/>
    </xf>
    <xf numFmtId="169" fontId="6" fillId="2" borderId="44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27" xfId="0" applyFont="1" applyBorder="1"/>
    <xf numFmtId="0" fontId="6" fillId="0" borderId="26" xfId="0" applyFont="1" applyBorder="1" applyAlignment="1">
      <alignment horizontal="center"/>
    </xf>
    <xf numFmtId="170" fontId="12" fillId="0" borderId="16" xfId="0" applyNumberFormat="1" applyFont="1" applyFill="1" applyBorder="1" applyAlignment="1">
      <alignment horizontal="center"/>
    </xf>
    <xf numFmtId="4" fontId="6" fillId="2" borderId="16" xfId="0" applyNumberFormat="1" applyFont="1" applyFill="1" applyBorder="1" applyAlignment="1">
      <alignment horizontal="center"/>
    </xf>
    <xf numFmtId="0" fontId="7" fillId="2" borderId="45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17" xfId="0" applyFont="1" applyFill="1" applyBorder="1"/>
    <xf numFmtId="0" fontId="7" fillId="2" borderId="18" xfId="0" applyFont="1" applyFill="1" applyBorder="1" applyAlignment="1">
      <alignment horizontal="center"/>
    </xf>
    <xf numFmtId="169" fontId="6" fillId="2" borderId="19" xfId="0" applyNumberFormat="1" applyFont="1" applyFill="1" applyBorder="1" applyAlignment="1">
      <alignment horizontal="center"/>
    </xf>
    <xf numFmtId="0" fontId="6" fillId="0" borderId="40" xfId="0" applyFont="1" applyFill="1" applyBorder="1"/>
    <xf numFmtId="0" fontId="6" fillId="2" borderId="31" xfId="0" applyFont="1" applyFill="1" applyBorder="1"/>
    <xf numFmtId="2" fontId="6" fillId="2" borderId="33" xfId="0" applyNumberFormat="1" applyFont="1" applyFill="1" applyBorder="1" applyAlignment="1">
      <alignment horizontal="center"/>
    </xf>
    <xf numFmtId="0" fontId="7" fillId="2" borderId="41" xfId="0" applyFont="1" applyFill="1" applyBorder="1" applyAlignment="1">
      <alignment wrapText="1"/>
    </xf>
    <xf numFmtId="0" fontId="7" fillId="2" borderId="24" xfId="0" applyFont="1" applyFill="1" applyBorder="1" applyAlignment="1">
      <alignment horizontal="center"/>
    </xf>
    <xf numFmtId="169" fontId="12" fillId="2" borderId="30" xfId="0" applyNumberFormat="1" applyFont="1" applyFill="1" applyBorder="1" applyAlignment="1">
      <alignment horizontal="center"/>
    </xf>
    <xf numFmtId="0" fontId="7" fillId="2" borderId="38" xfId="0" applyFont="1" applyFill="1" applyBorder="1"/>
    <xf numFmtId="0" fontId="7" fillId="2" borderId="39" xfId="0" applyFont="1" applyFill="1" applyBorder="1" applyAlignment="1">
      <alignment horizontal="center"/>
    </xf>
    <xf numFmtId="169" fontId="13" fillId="2" borderId="40" xfId="0" applyNumberFormat="1" applyFont="1" applyFill="1" applyBorder="1" applyAlignment="1">
      <alignment horizontal="center"/>
    </xf>
    <xf numFmtId="0" fontId="12" fillId="0" borderId="15" xfId="4" applyFont="1" applyBorder="1" applyAlignment="1"/>
    <xf numFmtId="0" fontId="14" fillId="0" borderId="0" xfId="4" applyBorder="1" applyAlignment="1"/>
    <xf numFmtId="171" fontId="12" fillId="0" borderId="16" xfId="0" applyNumberFormat="1" applyFont="1" applyFill="1" applyBorder="1" applyAlignment="1">
      <alignment horizontal="center"/>
    </xf>
    <xf numFmtId="0" fontId="6" fillId="3" borderId="11" xfId="0" applyFont="1" applyFill="1" applyBorder="1"/>
    <xf numFmtId="0" fontId="12" fillId="3" borderId="15" xfId="4" applyFont="1" applyFill="1" applyBorder="1" applyAlignment="1">
      <alignment horizontal="left" indent="2"/>
    </xf>
    <xf numFmtId="0" fontId="14" fillId="3" borderId="0" xfId="4" applyFill="1" applyBorder="1" applyAlignment="1"/>
    <xf numFmtId="1" fontId="12" fillId="3" borderId="16" xfId="4" applyNumberFormat="1" applyFont="1" applyFill="1" applyBorder="1" applyAlignment="1">
      <alignment horizontal="center"/>
    </xf>
    <xf numFmtId="0" fontId="6" fillId="3" borderId="0" xfId="0" applyFont="1" applyFill="1"/>
    <xf numFmtId="172" fontId="12" fillId="3" borderId="16" xfId="4" applyNumberFormat="1" applyFont="1" applyFill="1" applyBorder="1" applyAlignment="1">
      <alignment horizontal="center"/>
    </xf>
    <xf numFmtId="0" fontId="8" fillId="0" borderId="12" xfId="4" applyFont="1" applyBorder="1" applyAlignment="1"/>
    <xf numFmtId="0" fontId="14" fillId="0" borderId="46" xfId="4" applyBorder="1" applyAlignment="1"/>
    <xf numFmtId="171" fontId="12" fillId="0" borderId="14" xfId="0" applyNumberFormat="1" applyFont="1" applyFill="1" applyBorder="1" applyAlignment="1">
      <alignment horizontal="center"/>
    </xf>
    <xf numFmtId="0" fontId="13" fillId="0" borderId="15" xfId="4" applyFont="1" applyBorder="1" applyAlignment="1">
      <alignment horizontal="left" indent="2"/>
    </xf>
    <xf numFmtId="3" fontId="12" fillId="0" borderId="16" xfId="4" applyNumberFormat="1" applyFont="1" applyBorder="1" applyAlignment="1">
      <alignment horizontal="center"/>
    </xf>
    <xf numFmtId="0" fontId="13" fillId="3" borderId="15" xfId="4" applyFont="1" applyFill="1" applyBorder="1" applyAlignment="1">
      <alignment horizontal="left" indent="2"/>
    </xf>
    <xf numFmtId="1" fontId="12" fillId="0" borderId="16" xfId="4" applyNumberFormat="1" applyFont="1" applyBorder="1" applyAlignment="1">
      <alignment horizontal="center"/>
    </xf>
    <xf numFmtId="0" fontId="8" fillId="2" borderId="17" xfId="0" applyFont="1" applyFill="1" applyBorder="1" applyAlignment="1">
      <alignment horizontal="left" indent="2"/>
    </xf>
    <xf numFmtId="169" fontId="13" fillId="2" borderId="19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indent="2"/>
    </xf>
    <xf numFmtId="0" fontId="7" fillId="2" borderId="0" xfId="0" applyFont="1" applyFill="1" applyBorder="1" applyAlignment="1">
      <alignment horizontal="center"/>
    </xf>
    <xf numFmtId="169" fontId="13" fillId="2" borderId="0" xfId="0" applyNumberFormat="1" applyFont="1" applyFill="1" applyBorder="1" applyAlignment="1">
      <alignment horizontal="center"/>
    </xf>
    <xf numFmtId="169" fontId="8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6" fillId="0" borderId="9" xfId="0" applyFont="1" applyBorder="1" applyAlignment="1">
      <alignment vertical="top"/>
    </xf>
    <xf numFmtId="0" fontId="6" fillId="0" borderId="47" xfId="0" applyFont="1" applyBorder="1"/>
    <xf numFmtId="0" fontId="6" fillId="0" borderId="9" xfId="0" applyFont="1" applyBorder="1" applyAlignment="1">
      <alignment vertical="top" wrapText="1"/>
    </xf>
    <xf numFmtId="0" fontId="7" fillId="0" borderId="49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17" fillId="0" borderId="0" xfId="5" applyFont="1" applyAlignment="1" applyProtection="1"/>
    <xf numFmtId="0" fontId="6" fillId="0" borderId="0" xfId="0" applyFont="1" applyAlignment="1">
      <alignment horizontal="right"/>
    </xf>
    <xf numFmtId="0" fontId="7" fillId="0" borderId="22" xfId="0" applyFont="1" applyBorder="1" applyAlignment="1">
      <alignment horizontal="center"/>
    </xf>
    <xf numFmtId="0" fontId="26" fillId="0" borderId="0" xfId="0" applyFont="1"/>
    <xf numFmtId="167" fontId="27" fillId="2" borderId="30" xfId="0" applyNumberFormat="1" applyFont="1" applyFill="1" applyBorder="1" applyAlignment="1">
      <alignment horizontal="center"/>
    </xf>
    <xf numFmtId="0" fontId="27" fillId="0" borderId="32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</cellXfs>
  <cellStyles count="124">
    <cellStyle name="Comma" xfId="1" builtinId="3"/>
    <cellStyle name="Comma 2" xfId="6" xr:uid="{00000000-0005-0000-0000-000001000000}"/>
    <cellStyle name="Comma 3" xfId="7" xr:uid="{00000000-0005-0000-0000-000002000000}"/>
    <cellStyle name="Comma 4" xfId="8" xr:uid="{00000000-0005-0000-0000-000003000000}"/>
    <cellStyle name="Comma 5" xfId="9" xr:uid="{00000000-0005-0000-0000-000004000000}"/>
    <cellStyle name="Comma 6" xfId="10" xr:uid="{00000000-0005-0000-0000-000005000000}"/>
    <cellStyle name="Comma 7" xfId="11" xr:uid="{00000000-0005-0000-0000-000006000000}"/>
    <cellStyle name="Comma 7 2" xfId="12" xr:uid="{00000000-0005-0000-0000-000007000000}"/>
    <cellStyle name="Comma0" xfId="13" xr:uid="{00000000-0005-0000-0000-000008000000}"/>
    <cellStyle name="Comma0 2" xfId="14" xr:uid="{00000000-0005-0000-0000-000009000000}"/>
    <cellStyle name="Comma0 3" xfId="15" xr:uid="{00000000-0005-0000-0000-00000A000000}"/>
    <cellStyle name="Comma0 4" xfId="16" xr:uid="{00000000-0005-0000-0000-00000B000000}"/>
    <cellStyle name="Currency 2" xfId="17" xr:uid="{00000000-0005-0000-0000-00000C000000}"/>
    <cellStyle name="Currency 3" xfId="18" xr:uid="{00000000-0005-0000-0000-00000D000000}"/>
    <cellStyle name="Currency0" xfId="19" xr:uid="{00000000-0005-0000-0000-00000E000000}"/>
    <cellStyle name="Currency0 2" xfId="20" xr:uid="{00000000-0005-0000-0000-00000F000000}"/>
    <cellStyle name="Currency0 3" xfId="21" xr:uid="{00000000-0005-0000-0000-000010000000}"/>
    <cellStyle name="Currency0 4" xfId="22" xr:uid="{00000000-0005-0000-0000-000011000000}"/>
    <cellStyle name="Date" xfId="23" xr:uid="{00000000-0005-0000-0000-000012000000}"/>
    <cellStyle name="Date 2" xfId="24" xr:uid="{00000000-0005-0000-0000-000013000000}"/>
    <cellStyle name="Date 3" xfId="25" xr:uid="{00000000-0005-0000-0000-000014000000}"/>
    <cellStyle name="Date 4" xfId="26" xr:uid="{00000000-0005-0000-0000-000015000000}"/>
    <cellStyle name="Explanatory Text" xfId="3" builtinId="53"/>
    <cellStyle name="Fixed" xfId="27" xr:uid="{00000000-0005-0000-0000-000017000000}"/>
    <cellStyle name="Fixed 2" xfId="28" xr:uid="{00000000-0005-0000-0000-000018000000}"/>
    <cellStyle name="Fixed 3" xfId="29" xr:uid="{00000000-0005-0000-0000-000019000000}"/>
    <cellStyle name="Fixed 4" xfId="30" xr:uid="{00000000-0005-0000-0000-00001A000000}"/>
    <cellStyle name="Heading 1 2" xfId="31" xr:uid="{00000000-0005-0000-0000-00001B000000}"/>
    <cellStyle name="Heading 1 3" xfId="32" xr:uid="{00000000-0005-0000-0000-00001C000000}"/>
    <cellStyle name="Heading 1 4" xfId="33" xr:uid="{00000000-0005-0000-0000-00001D000000}"/>
    <cellStyle name="Heading 1 5" xfId="34" xr:uid="{00000000-0005-0000-0000-00001E000000}"/>
    <cellStyle name="Heading 1 6" xfId="35" xr:uid="{00000000-0005-0000-0000-00001F000000}"/>
    <cellStyle name="Heading 2 2" xfId="36" xr:uid="{00000000-0005-0000-0000-000020000000}"/>
    <cellStyle name="Heading 2 3" xfId="37" xr:uid="{00000000-0005-0000-0000-000021000000}"/>
    <cellStyle name="Heading 2 4" xfId="38" xr:uid="{00000000-0005-0000-0000-000022000000}"/>
    <cellStyle name="Heading 2 5" xfId="39" xr:uid="{00000000-0005-0000-0000-000023000000}"/>
    <cellStyle name="Heading 2 6" xfId="40" xr:uid="{00000000-0005-0000-0000-000024000000}"/>
    <cellStyle name="HEADING1" xfId="41" xr:uid="{00000000-0005-0000-0000-000025000000}"/>
    <cellStyle name="HEADING1 2" xfId="42" xr:uid="{00000000-0005-0000-0000-000026000000}"/>
    <cellStyle name="HEADING1 3" xfId="43" xr:uid="{00000000-0005-0000-0000-000027000000}"/>
    <cellStyle name="HEADING2" xfId="44" xr:uid="{00000000-0005-0000-0000-000028000000}"/>
    <cellStyle name="HEADING2 2" xfId="45" xr:uid="{00000000-0005-0000-0000-000029000000}"/>
    <cellStyle name="HEADING2 3" xfId="46" xr:uid="{00000000-0005-0000-0000-00002A000000}"/>
    <cellStyle name="Hyperlink 2" xfId="5" xr:uid="{00000000-0005-0000-0000-00002B000000}"/>
    <cellStyle name="Normal" xfId="0" builtinId="0"/>
    <cellStyle name="Normal 10" xfId="47" xr:uid="{00000000-0005-0000-0000-00002D000000}"/>
    <cellStyle name="Normal 10 2" xfId="48" xr:uid="{00000000-0005-0000-0000-00002E000000}"/>
    <cellStyle name="Normal 12" xfId="49" xr:uid="{00000000-0005-0000-0000-00002F000000}"/>
    <cellStyle name="Normal 2" xfId="4" xr:uid="{00000000-0005-0000-0000-000030000000}"/>
    <cellStyle name="Normal 2 2" xfId="50" xr:uid="{00000000-0005-0000-0000-000031000000}"/>
    <cellStyle name="Normal 3" xfId="51" xr:uid="{00000000-0005-0000-0000-000032000000}"/>
    <cellStyle name="Normal 4" xfId="52" xr:uid="{00000000-0005-0000-0000-000033000000}"/>
    <cellStyle name="Normal 4 2" xfId="53" xr:uid="{00000000-0005-0000-0000-000034000000}"/>
    <cellStyle name="Normal 5" xfId="54" xr:uid="{00000000-0005-0000-0000-000035000000}"/>
    <cellStyle name="Normal 6" xfId="55" xr:uid="{00000000-0005-0000-0000-000036000000}"/>
    <cellStyle name="Normal 7" xfId="56" xr:uid="{00000000-0005-0000-0000-000037000000}"/>
    <cellStyle name="Normal 7 2" xfId="57" xr:uid="{00000000-0005-0000-0000-000038000000}"/>
    <cellStyle name="Normal 8" xfId="58" xr:uid="{00000000-0005-0000-0000-000039000000}"/>
    <cellStyle name="Normal 9" xfId="59" xr:uid="{00000000-0005-0000-0000-00003A000000}"/>
    <cellStyle name="Normal 9 2" xfId="60" xr:uid="{00000000-0005-0000-0000-00003B000000}"/>
    <cellStyle name="Percent" xfId="2" builtinId="5"/>
    <cellStyle name="Percent 2" xfId="61" xr:uid="{00000000-0005-0000-0000-00003D000000}"/>
    <cellStyle name="Percent 3" xfId="62" xr:uid="{00000000-0005-0000-0000-00003E000000}"/>
    <cellStyle name="Percent 4" xfId="63" xr:uid="{00000000-0005-0000-0000-00003F000000}"/>
    <cellStyle name="Percent 5" xfId="64" xr:uid="{00000000-0005-0000-0000-000040000000}"/>
    <cellStyle name="Percent 5 2" xfId="65" xr:uid="{00000000-0005-0000-0000-000041000000}"/>
    <cellStyle name="Percent 6" xfId="66" xr:uid="{00000000-0005-0000-0000-000042000000}"/>
    <cellStyle name="Title 2" xfId="67" xr:uid="{00000000-0005-0000-0000-000043000000}"/>
    <cellStyle name="Total 2" xfId="68" xr:uid="{00000000-0005-0000-0000-000044000000}"/>
    <cellStyle name="Total 2 2" xfId="69" xr:uid="{00000000-0005-0000-0000-000045000000}"/>
    <cellStyle name="Total 2 2 2" xfId="70" xr:uid="{00000000-0005-0000-0000-000046000000}"/>
    <cellStyle name="Total 2 2 2 2" xfId="71" xr:uid="{00000000-0005-0000-0000-000047000000}"/>
    <cellStyle name="Total 2 2 3" xfId="72" xr:uid="{00000000-0005-0000-0000-000048000000}"/>
    <cellStyle name="Total 2 3" xfId="73" xr:uid="{00000000-0005-0000-0000-000049000000}"/>
    <cellStyle name="Total 2 3 2" xfId="74" xr:uid="{00000000-0005-0000-0000-00004A000000}"/>
    <cellStyle name="Total 2 4" xfId="75" xr:uid="{00000000-0005-0000-0000-00004B000000}"/>
    <cellStyle name="Total 2 4 2" xfId="76" xr:uid="{00000000-0005-0000-0000-00004C000000}"/>
    <cellStyle name="Total 2 5" xfId="77" xr:uid="{00000000-0005-0000-0000-00004D000000}"/>
    <cellStyle name="Total 2 5 2" xfId="78" xr:uid="{00000000-0005-0000-0000-00004E000000}"/>
    <cellStyle name="Total 2 6" xfId="79" xr:uid="{00000000-0005-0000-0000-00004F000000}"/>
    <cellStyle name="Total 2 6 2" xfId="80" xr:uid="{00000000-0005-0000-0000-000050000000}"/>
    <cellStyle name="Total 2 7" xfId="81" xr:uid="{00000000-0005-0000-0000-000051000000}"/>
    <cellStyle name="Total 2 7 2" xfId="82" xr:uid="{00000000-0005-0000-0000-000052000000}"/>
    <cellStyle name="Total 2 8" xfId="83" xr:uid="{00000000-0005-0000-0000-000053000000}"/>
    <cellStyle name="Total 2 8 2" xfId="84" xr:uid="{00000000-0005-0000-0000-000054000000}"/>
    <cellStyle name="Total 3" xfId="85" xr:uid="{00000000-0005-0000-0000-000055000000}"/>
    <cellStyle name="Total 3 2" xfId="86" xr:uid="{00000000-0005-0000-0000-000056000000}"/>
    <cellStyle name="Total 3 2 2" xfId="87" xr:uid="{00000000-0005-0000-0000-000057000000}"/>
    <cellStyle name="Total 3 2 2 2" xfId="88" xr:uid="{00000000-0005-0000-0000-000058000000}"/>
    <cellStyle name="Total 3 2 3" xfId="89" xr:uid="{00000000-0005-0000-0000-000059000000}"/>
    <cellStyle name="Total 3 3" xfId="90" xr:uid="{00000000-0005-0000-0000-00005A000000}"/>
    <cellStyle name="Total 3 3 2" xfId="91" xr:uid="{00000000-0005-0000-0000-00005B000000}"/>
    <cellStyle name="Total 3 4" xfId="92" xr:uid="{00000000-0005-0000-0000-00005C000000}"/>
    <cellStyle name="Total 3 4 2" xfId="93" xr:uid="{00000000-0005-0000-0000-00005D000000}"/>
    <cellStyle name="Total 3 5" xfId="94" xr:uid="{00000000-0005-0000-0000-00005E000000}"/>
    <cellStyle name="Total 3 5 2" xfId="95" xr:uid="{00000000-0005-0000-0000-00005F000000}"/>
    <cellStyle name="Total 3 6" xfId="96" xr:uid="{00000000-0005-0000-0000-000060000000}"/>
    <cellStyle name="Total 3 6 2" xfId="97" xr:uid="{00000000-0005-0000-0000-000061000000}"/>
    <cellStyle name="Total 3 7" xfId="98" xr:uid="{00000000-0005-0000-0000-000062000000}"/>
    <cellStyle name="Total 3 7 2" xfId="99" xr:uid="{00000000-0005-0000-0000-000063000000}"/>
    <cellStyle name="Total 3 8" xfId="100" xr:uid="{00000000-0005-0000-0000-000064000000}"/>
    <cellStyle name="Total 3 8 2" xfId="101" xr:uid="{00000000-0005-0000-0000-000065000000}"/>
    <cellStyle name="Total 4" xfId="102" xr:uid="{00000000-0005-0000-0000-000066000000}"/>
    <cellStyle name="Total 4 2" xfId="103" xr:uid="{00000000-0005-0000-0000-000067000000}"/>
    <cellStyle name="Total 4 2 2" xfId="104" xr:uid="{00000000-0005-0000-0000-000068000000}"/>
    <cellStyle name="Total 4 2 2 2" xfId="105" xr:uid="{00000000-0005-0000-0000-000069000000}"/>
    <cellStyle name="Total 4 2 3" xfId="106" xr:uid="{00000000-0005-0000-0000-00006A000000}"/>
    <cellStyle name="Total 4 3" xfId="107" xr:uid="{00000000-0005-0000-0000-00006B000000}"/>
    <cellStyle name="Total 4 3 2" xfId="108" xr:uid="{00000000-0005-0000-0000-00006C000000}"/>
    <cellStyle name="Total 4 4" xfId="109" xr:uid="{00000000-0005-0000-0000-00006D000000}"/>
    <cellStyle name="Total 4 4 2" xfId="110" xr:uid="{00000000-0005-0000-0000-00006E000000}"/>
    <cellStyle name="Total 4 5" xfId="111" xr:uid="{00000000-0005-0000-0000-00006F000000}"/>
    <cellStyle name="Total 4 5 2" xfId="112" xr:uid="{00000000-0005-0000-0000-000070000000}"/>
    <cellStyle name="Total 4 6" xfId="113" xr:uid="{00000000-0005-0000-0000-000071000000}"/>
    <cellStyle name="Total 4 6 2" xfId="114" xr:uid="{00000000-0005-0000-0000-000072000000}"/>
    <cellStyle name="Total 4 7" xfId="115" xr:uid="{00000000-0005-0000-0000-000073000000}"/>
    <cellStyle name="Total 4 7 2" xfId="116" xr:uid="{00000000-0005-0000-0000-000074000000}"/>
    <cellStyle name="Total 4 8" xfId="117" xr:uid="{00000000-0005-0000-0000-000075000000}"/>
    <cellStyle name="Total 4 8 2" xfId="118" xr:uid="{00000000-0005-0000-0000-000076000000}"/>
    <cellStyle name="Total 5" xfId="119" xr:uid="{00000000-0005-0000-0000-000077000000}"/>
    <cellStyle name="Total 5 2" xfId="120" xr:uid="{00000000-0005-0000-0000-000078000000}"/>
    <cellStyle name="Total 5 2 2" xfId="121" xr:uid="{00000000-0005-0000-0000-000079000000}"/>
    <cellStyle name="Total 5 3" xfId="122" xr:uid="{00000000-0005-0000-0000-00007A000000}"/>
    <cellStyle name="Total 6" xfId="123" xr:uid="{00000000-0005-0000-0000-00007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297974</xdr:colOff>
      <xdr:row>46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6393974" cy="8900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 cap="all">
              <a:effectLst/>
              <a:latin typeface="Times New Roman"/>
              <a:ea typeface="Times New Roman"/>
              <a:cs typeface="Arial"/>
            </a:rPr>
            <a:t> 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 cap="all">
              <a:effectLst/>
              <a:latin typeface="Times New Roman"/>
              <a:ea typeface="Times New Roman"/>
              <a:cs typeface="Arial"/>
            </a:rPr>
            <a:t> 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 cap="all">
              <a:effectLst/>
              <a:latin typeface="Times New Roman"/>
              <a:ea typeface="Times New Roman"/>
              <a:cs typeface="Arial"/>
            </a:rPr>
            <a:t> 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 cap="all">
              <a:effectLst/>
              <a:latin typeface="Times New Roman"/>
              <a:ea typeface="Times New Roman"/>
              <a:cs typeface="Arial"/>
            </a:rPr>
            <a:t> 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 cap="all">
              <a:effectLst/>
              <a:latin typeface="Times New Roman"/>
              <a:ea typeface="Times New Roman"/>
              <a:cs typeface="Arial"/>
            </a:rPr>
            <a:t> 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 cap="all">
              <a:effectLst/>
              <a:latin typeface="Times New Roman"/>
              <a:ea typeface="Times New Roman"/>
              <a:cs typeface="Arial"/>
            </a:rPr>
            <a:t> 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 cap="all">
              <a:effectLst/>
              <a:latin typeface="Times New Roman"/>
              <a:ea typeface="Times New Roman"/>
              <a:cs typeface="Arial"/>
            </a:rPr>
            <a:t> </a:t>
          </a:r>
        </a:p>
        <a:p>
          <a:endParaRPr lang="en-US">
            <a:effectLst/>
            <a:latin typeface="Microsoft YaHei"/>
          </a:endParaRPr>
        </a:p>
        <a:p>
          <a:endParaRPr lang="en-US">
            <a:effectLst/>
            <a:latin typeface="Microsoft YaHei"/>
          </a:endParaRPr>
        </a:p>
        <a:p>
          <a:endParaRPr lang="en-US">
            <a:effectLst/>
            <a:latin typeface="Microsoft YaHei"/>
          </a:endParaRPr>
        </a:p>
        <a:p>
          <a:endParaRPr lang="en-US">
            <a:effectLst/>
            <a:latin typeface="Microsoft YaHei"/>
          </a:endParaRPr>
        </a:p>
        <a:p>
          <a:endParaRPr lang="en-US">
            <a:effectLst/>
            <a:latin typeface="Microsoft YaHei"/>
          </a:endParaRPr>
        </a:p>
        <a:p>
          <a:endParaRPr lang="en-US">
            <a:effectLst/>
            <a:latin typeface="Microsoft YaHei"/>
          </a:endParaRPr>
        </a:p>
        <a:p>
          <a:endParaRPr lang="en-US">
            <a:effectLst/>
            <a:latin typeface="Microsoft YaHei"/>
          </a:endParaRPr>
        </a:p>
        <a:p>
          <a:endParaRPr lang="en-US">
            <a:effectLst/>
            <a:latin typeface="Microsoft YaHei"/>
          </a:endParaRPr>
        </a:p>
        <a:p>
          <a:pPr algn="ctr"/>
          <a:endParaRPr lang="en-US" sz="2400" b="1">
            <a:effectLst/>
            <a:latin typeface="Microsoft YaHei" panose="020B0503020204020204" pitchFamily="34" charset="-122"/>
            <a:ea typeface="Microsoft YaHei" panose="020B0503020204020204" pitchFamily="34" charset="-122"/>
          </a:endParaRPr>
        </a:p>
        <a:p>
          <a:pPr algn="ctr"/>
          <a:endParaRPr lang="en-US" sz="2400" b="1">
            <a:effectLst/>
            <a:latin typeface="Microsoft YaHei" panose="020B0503020204020204" pitchFamily="34" charset="-122"/>
            <a:ea typeface="Microsoft YaHei" panose="020B0503020204020204" pitchFamily="34" charset="-122"/>
          </a:endParaRPr>
        </a:p>
        <a:p>
          <a:pPr algn="ctr"/>
          <a:r>
            <a:rPr lang="en-US" sz="2400" b="1">
              <a:effectLst/>
              <a:latin typeface="Microsoft YaHei" panose="020B0503020204020204" pitchFamily="34" charset="-122"/>
              <a:ea typeface="Microsoft YaHei" panose="020B0503020204020204" pitchFamily="34" charset="-122"/>
            </a:rPr>
            <a:t>Appendix H-4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="1" cap="all">
              <a:effectLst/>
              <a:latin typeface="+mn-lt"/>
              <a:ea typeface="Times New Roman"/>
              <a:cs typeface="Arial"/>
            </a:rPr>
            <a:t> </a:t>
          </a:r>
          <a:endParaRPr lang="en-US" sz="1100" b="1" cap="all">
            <a:effectLst/>
            <a:latin typeface="Times New Roman"/>
            <a:ea typeface="Times New Roman"/>
            <a:cs typeface="Arial"/>
          </a:endParaRPr>
        </a:p>
        <a:p>
          <a:pPr marL="0" marR="0" algn="ctr">
            <a:spcBef>
              <a:spcPts val="0"/>
            </a:spcBef>
            <a:spcAft>
              <a:spcPts val="1200"/>
            </a:spcAft>
          </a:pPr>
          <a:r>
            <a:rPr lang="en-US" sz="2400" b="1">
              <a:effectLst/>
              <a:latin typeface="+mn-lt"/>
              <a:ea typeface="Times New Roman"/>
              <a:cs typeface="Arial"/>
            </a:rPr>
            <a:t>Domtar</a:t>
          </a:r>
          <a:r>
            <a:rPr lang="en-US" sz="2400" b="1" baseline="0">
              <a:effectLst/>
              <a:latin typeface="+mn-lt"/>
              <a:ea typeface="Times New Roman"/>
              <a:cs typeface="Arial"/>
            </a:rPr>
            <a:t> Ashdown Mill Revised Calculations</a:t>
          </a:r>
          <a:endParaRPr lang="en-US" sz="2400" b="1">
            <a:effectLst/>
            <a:latin typeface="+mn-lt"/>
            <a:ea typeface="Times New Roman"/>
            <a:cs typeface="Arial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800">
              <a:effectLst/>
              <a:latin typeface="+mn-lt"/>
              <a:ea typeface="Calibri"/>
              <a:cs typeface="Times New Roman"/>
            </a:rPr>
            <a:t> 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800">
              <a:effectLst/>
              <a:latin typeface="+mn-lt"/>
              <a:ea typeface="Calibri"/>
              <a:cs typeface="Times New Roman"/>
            </a:rPr>
            <a:t> 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800">
              <a:effectLst/>
              <a:latin typeface="+mn-lt"/>
              <a:ea typeface="Calibri"/>
              <a:cs typeface="Times New Roman"/>
            </a:rPr>
            <a:t> 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800">
              <a:effectLst/>
              <a:latin typeface="+mn-lt"/>
              <a:ea typeface="Calibri"/>
              <a:cs typeface="Times New Roman"/>
            </a:rPr>
            <a:t> 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800">
              <a:effectLst/>
              <a:latin typeface="+mn-lt"/>
              <a:ea typeface="Calibri"/>
              <a:cs typeface="Times New Roman"/>
            </a:rPr>
            <a:t> </a:t>
          </a:r>
          <a:endParaRPr lang="en-US" sz="1200">
            <a:effectLst/>
            <a:latin typeface="Times New Roman" panose="02020603050405020304" pitchFamily="18" charset="0"/>
            <a:ea typeface="Calibri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200">
              <a:effectLst/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Division of Environmental Quality</a:t>
          </a: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200">
              <a:effectLst/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Office of Air Quality</a:t>
          </a:r>
        </a:p>
        <a:p>
          <a:endParaRPr lang="en-US" sz="1100"/>
        </a:p>
      </xdr:txBody>
    </xdr:sp>
    <xdr:clientData/>
  </xdr:twoCellAnchor>
  <xdr:twoCellAnchor>
    <xdr:from>
      <xdr:col>2</xdr:col>
      <xdr:colOff>209550</xdr:colOff>
      <xdr:row>6</xdr:row>
      <xdr:rowOff>111125</xdr:rowOff>
    </xdr:from>
    <xdr:to>
      <xdr:col>8</xdr:col>
      <xdr:colOff>200818</xdr:colOff>
      <xdr:row>15</xdr:row>
      <xdr:rowOff>187325</xdr:rowOff>
    </xdr:to>
    <xdr:pic>
      <xdr:nvPicPr>
        <xdr:cNvPr id="3" name="Picture 2" descr="EQ_Vertic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775"/>
        <a:stretch/>
      </xdr:blipFill>
      <xdr:spPr bwMode="auto">
        <a:xfrm>
          <a:off x="1428750" y="1254125"/>
          <a:ext cx="3648868" cy="1790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ece\AppData\Local\Temp\AR020-0063-01_Domtar_BART_Consolidated_2014-05-1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t Inputs"/>
      <sheetName val="Inputs"/>
      <sheetName val="1PB BLEmiss Variability"/>
      <sheetName val="Modeled ERs SN-03"/>
      <sheetName val="Modeled ERs SN-05"/>
      <sheetName val="WB-control PM NIDS-FF"/>
      <sheetName val="Results =&gt;"/>
      <sheetName val="Baseline Results"/>
      <sheetName val="Post-Control Results"/>
      <sheetName val="Costing =&gt;"/>
      <sheetName val="WetScrubber-ESP"/>
      <sheetName val="SNCR #1PB"/>
      <sheetName val="SNCR #2PB"/>
    </sheetNames>
    <sheetDataSet>
      <sheetData sheetId="0" refreshError="1">
        <row r="28">
          <cell r="M28">
            <v>9642.6613932537421</v>
          </cell>
        </row>
      </sheetData>
      <sheetData sheetId="1" refreshError="1">
        <row r="4">
          <cell r="C4">
            <v>820</v>
          </cell>
        </row>
        <row r="40">
          <cell r="D40">
            <v>0.41758536585365846</v>
          </cell>
          <cell r="F40">
            <v>1455.7084593999998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1" workbookViewId="0"/>
  </sheetViews>
  <sheetFormatPr defaultRowHeight="14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H46"/>
  <sheetViews>
    <sheetView topLeftCell="A20" workbookViewId="0">
      <selection activeCell="E3" sqref="E3:E4"/>
    </sheetView>
  </sheetViews>
  <sheetFormatPr defaultColWidth="9.140625" defaultRowHeight="14.45"/>
  <cols>
    <col min="1" max="1" width="75.7109375" customWidth="1"/>
    <col min="2" max="2" width="39.28515625" customWidth="1"/>
    <col min="3" max="3" width="15.7109375" bestFit="1" customWidth="1"/>
    <col min="4" max="4" width="32.7109375" bestFit="1" customWidth="1"/>
    <col min="5" max="5" width="34.28515625" customWidth="1"/>
    <col min="6" max="6" width="15.28515625" bestFit="1" customWidth="1"/>
    <col min="7" max="7" width="17.7109375" bestFit="1" customWidth="1"/>
    <col min="8" max="8" width="17.42578125" bestFit="1" customWidth="1"/>
  </cols>
  <sheetData>
    <row r="2" spans="1:8">
      <c r="D2" s="3"/>
      <c r="F2" s="3"/>
    </row>
    <row r="3" spans="1:8">
      <c r="A3" s="135" t="s">
        <v>0</v>
      </c>
      <c r="B3" s="135" t="s">
        <v>1</v>
      </c>
      <c r="C3" s="133" t="s">
        <v>2</v>
      </c>
      <c r="D3" s="137" t="s">
        <v>3</v>
      </c>
      <c r="E3" s="133" t="s">
        <v>4</v>
      </c>
      <c r="F3" s="133" t="s">
        <v>5</v>
      </c>
      <c r="G3" s="132" t="s">
        <v>6</v>
      </c>
      <c r="H3" s="132" t="s">
        <v>7</v>
      </c>
    </row>
    <row r="4" spans="1:8" ht="27" customHeight="1">
      <c r="A4" s="136"/>
      <c r="B4" s="136"/>
      <c r="C4" s="134"/>
      <c r="D4" s="137"/>
      <c r="E4" s="134"/>
      <c r="F4" s="134"/>
      <c r="G4" s="132"/>
      <c r="H4" s="132"/>
    </row>
    <row r="5" spans="1:8">
      <c r="A5" s="4">
        <v>2</v>
      </c>
      <c r="B5" s="5" t="s">
        <v>8</v>
      </c>
      <c r="C5" s="6">
        <v>7511270</v>
      </c>
      <c r="D5" s="7">
        <f>C5*$D$13</f>
        <v>605306.23510090425</v>
      </c>
      <c r="E5" s="6">
        <v>9688932</v>
      </c>
      <c r="F5" s="6">
        <f>SUM(D5,E5)*'CEPCI Index'!$C$22</f>
        <v>10369341.2830771</v>
      </c>
      <c r="G5" s="6">
        <v>773</v>
      </c>
      <c r="H5" s="6">
        <f t="shared" ref="H5:H10" si="0">F5/G5</f>
        <v>13414.413044084218</v>
      </c>
    </row>
    <row r="6" spans="1:8">
      <c r="A6" s="4">
        <v>2</v>
      </c>
      <c r="B6" s="5" t="s">
        <v>9</v>
      </c>
      <c r="C6" s="6">
        <v>209373</v>
      </c>
      <c r="D6" s="7">
        <f t="shared" ref="D6:D10" si="1">C6*$D$13</f>
        <v>16872.617062331883</v>
      </c>
      <c r="E6" s="6">
        <v>2051859</v>
      </c>
      <c r="F6" s="6">
        <f>SUM(D6,E6)*'CEPCI Index'!$C$22</f>
        <v>2083824.3365368373</v>
      </c>
      <c r="G6" s="6">
        <f>C36</f>
        <v>578.83485342019537</v>
      </c>
      <c r="H6" s="6">
        <f t="shared" si="0"/>
        <v>3600.0325899935406</v>
      </c>
    </row>
    <row r="7" spans="1:8">
      <c r="A7" s="4">
        <v>3</v>
      </c>
      <c r="B7" s="5" t="s">
        <v>10</v>
      </c>
      <c r="C7" s="6">
        <v>30208534</v>
      </c>
      <c r="D7" s="7">
        <f t="shared" si="1"/>
        <v>2434397.1104031219</v>
      </c>
      <c r="E7" s="6">
        <v>966673</v>
      </c>
      <c r="F7" s="6">
        <f>SUM(D7,E7)*'CEPCI Index'!$C$22</f>
        <v>3425883.0908139553</v>
      </c>
      <c r="G7" s="6">
        <v>42.2</v>
      </c>
      <c r="H7" s="6">
        <f t="shared" si="0"/>
        <v>81182.063763363869</v>
      </c>
    </row>
    <row r="8" spans="1:8">
      <c r="A8" s="4">
        <v>3</v>
      </c>
      <c r="B8" s="5" t="s">
        <v>11</v>
      </c>
      <c r="C8" s="6">
        <v>181251205</v>
      </c>
      <c r="D8" s="7">
        <f t="shared" si="1"/>
        <v>14606382.743005136</v>
      </c>
      <c r="E8" s="6">
        <v>2175014</v>
      </c>
      <c r="F8" s="6">
        <f>SUM(D8,E8)*'CEPCI Index'!$C$22</f>
        <v>16903827.758871861</v>
      </c>
      <c r="G8" s="6">
        <v>42.2</v>
      </c>
      <c r="H8" s="6">
        <f t="shared" si="0"/>
        <v>400564.63883582607</v>
      </c>
    </row>
    <row r="9" spans="1:8">
      <c r="A9" s="4">
        <v>3</v>
      </c>
      <c r="B9" s="5" t="s">
        <v>12</v>
      </c>
      <c r="C9" s="6">
        <v>36250241</v>
      </c>
      <c r="D9" s="7">
        <f t="shared" si="1"/>
        <v>2921276.5486010271</v>
      </c>
      <c r="E9" s="6">
        <v>1208341</v>
      </c>
      <c r="F9" s="6">
        <f>SUM(D9,E9)*'CEPCI Index'!$C$22</f>
        <v>4159745.7482592007</v>
      </c>
      <c r="G9" s="6">
        <v>42.2</v>
      </c>
      <c r="H9" s="6">
        <f t="shared" si="0"/>
        <v>98572.174129364939</v>
      </c>
    </row>
    <row r="10" spans="1:8">
      <c r="A10" s="4">
        <v>3</v>
      </c>
      <c r="B10" s="5" t="s">
        <v>13</v>
      </c>
      <c r="C10" s="6">
        <v>181251205</v>
      </c>
      <c r="D10" s="7">
        <f t="shared" si="1"/>
        <v>14606382.743005136</v>
      </c>
      <c r="E10" s="6">
        <v>36250241</v>
      </c>
      <c r="F10" s="6">
        <f>SUM(D10,E10)*'CEPCI Index'!$C$22</f>
        <v>51227655.320636079</v>
      </c>
      <c r="G10" s="6">
        <v>42.2</v>
      </c>
      <c r="H10" s="6">
        <f t="shared" si="0"/>
        <v>1213925.4815316605</v>
      </c>
    </row>
    <row r="12" spans="1:8">
      <c r="B12" t="s">
        <v>14</v>
      </c>
    </row>
    <row r="13" spans="1:8">
      <c r="B13" s="131" t="s">
        <v>15</v>
      </c>
      <c r="C13" s="131"/>
      <c r="D13">
        <f>(D14*(1+D14)^D15)/(((1+D14)^D15)-1)</f>
        <v>8.0586403511111196E-2</v>
      </c>
      <c r="E13" s="131"/>
      <c r="F13" s="131"/>
    </row>
    <row r="14" spans="1:8">
      <c r="B14" s="131" t="s">
        <v>16</v>
      </c>
      <c r="C14" s="131"/>
      <c r="D14" s="128">
        <v>7.0000000000000007E-2</v>
      </c>
      <c r="E14" s="131"/>
      <c r="F14" s="131"/>
    </row>
    <row r="15" spans="1:8">
      <c r="B15" s="131" t="s">
        <v>17</v>
      </c>
      <c r="C15" s="131"/>
      <c r="D15">
        <v>30</v>
      </c>
      <c r="E15" s="131"/>
      <c r="F15" s="131"/>
    </row>
    <row r="18" spans="1:8">
      <c r="B18" s="131"/>
      <c r="C18" s="131"/>
    </row>
    <row r="19" spans="1:8">
      <c r="B19" s="131"/>
      <c r="C19" s="131"/>
      <c r="E19" s="8"/>
      <c r="F19" s="8"/>
      <c r="G19" s="8"/>
      <c r="H19" s="8"/>
    </row>
    <row r="20" spans="1:8" ht="15" customHeight="1">
      <c r="B20" s="131"/>
      <c r="C20" s="131"/>
      <c r="E20" s="8"/>
      <c r="F20" s="9"/>
      <c r="G20" s="8"/>
      <c r="H20" s="8"/>
    </row>
    <row r="21" spans="1:8">
      <c r="C21" t="s">
        <v>18</v>
      </c>
      <c r="F21" s="10"/>
    </row>
    <row r="22" spans="1:8">
      <c r="A22" s="11" t="s">
        <v>19</v>
      </c>
      <c r="B22" s="12">
        <v>0.6928805555555555</v>
      </c>
      <c r="C22" s="11" t="s">
        <v>20</v>
      </c>
      <c r="D22" s="11"/>
      <c r="F22" s="10"/>
    </row>
    <row r="23" spans="1:8" ht="58.15" customHeight="1">
      <c r="B23" s="10"/>
      <c r="C23" s="13"/>
      <c r="D23" s="14"/>
      <c r="F23" s="10"/>
    </row>
    <row r="24" spans="1:8" ht="58.15" customHeight="1">
      <c r="B24" s="10"/>
      <c r="C24" s="13"/>
      <c r="F24" s="10"/>
    </row>
    <row r="25" spans="1:8">
      <c r="A25" t="s">
        <v>21</v>
      </c>
      <c r="C25" s="15">
        <v>858.9</v>
      </c>
      <c r="F25" s="10"/>
    </row>
    <row r="26" spans="1:8" ht="28.9">
      <c r="A26" s="16" t="s">
        <v>22</v>
      </c>
      <c r="F26" s="10"/>
    </row>
    <row r="27" spans="1:8">
      <c r="B27" t="s">
        <v>23</v>
      </c>
      <c r="F27" s="10"/>
    </row>
    <row r="28" spans="1:8">
      <c r="B28" t="s">
        <v>24</v>
      </c>
      <c r="C28">
        <f>859.8/(1-0.693)</f>
        <v>2800.6514657980451</v>
      </c>
      <c r="F28" s="10"/>
    </row>
    <row r="29" spans="1:8">
      <c r="B29" t="s">
        <v>25</v>
      </c>
      <c r="F29" s="10"/>
    </row>
    <row r="30" spans="1:8" ht="15" customHeight="1">
      <c r="B30" s="10"/>
      <c r="C30" s="10"/>
      <c r="D30" s="10"/>
      <c r="F30" s="10"/>
    </row>
    <row r="31" spans="1:8">
      <c r="B31" s="10"/>
      <c r="C31" s="10"/>
      <c r="D31" s="10"/>
      <c r="F31" s="10"/>
    </row>
    <row r="32" spans="1:8">
      <c r="A32" s="17" t="s">
        <v>26</v>
      </c>
      <c r="B32" s="17"/>
      <c r="C32" s="17"/>
      <c r="F32" s="10"/>
    </row>
    <row r="33" spans="1:6">
      <c r="F33" s="10"/>
    </row>
    <row r="34" spans="1:6">
      <c r="A34" t="s">
        <v>27</v>
      </c>
      <c r="B34" s="18" t="s">
        <v>28</v>
      </c>
      <c r="C34">
        <f>C28*0.9</f>
        <v>2520.5863192182405</v>
      </c>
      <c r="F34" s="10"/>
    </row>
    <row r="35" spans="1:6">
      <c r="A35" t="s">
        <v>29</v>
      </c>
      <c r="B35" s="18" t="s">
        <v>30</v>
      </c>
      <c r="C35">
        <f>C28-C34</f>
        <v>280.0651465798046</v>
      </c>
      <c r="F35" s="10"/>
    </row>
    <row r="36" spans="1:6">
      <c r="A36" t="s">
        <v>31</v>
      </c>
      <c r="B36" s="18" t="s">
        <v>32</v>
      </c>
      <c r="C36" s="15">
        <f>C25-C35</f>
        <v>578.83485342019537</v>
      </c>
      <c r="F36" s="10"/>
    </row>
    <row r="37" spans="1:6">
      <c r="F37" s="10"/>
    </row>
    <row r="38" spans="1:6">
      <c r="A38" t="s">
        <v>33</v>
      </c>
      <c r="B38" s="18" t="s">
        <v>34</v>
      </c>
      <c r="C38" s="14">
        <f>C36/C25</f>
        <v>0.67392578113889323</v>
      </c>
      <c r="F38" s="10"/>
    </row>
    <row r="39" spans="1:6">
      <c r="A39" s="10"/>
      <c r="B39" s="10"/>
      <c r="C39" s="10"/>
      <c r="D39" s="10"/>
      <c r="E39" s="10"/>
      <c r="F39" s="10"/>
    </row>
    <row r="40" spans="1:6">
      <c r="A40" s="10"/>
      <c r="B40" s="10"/>
      <c r="C40" s="10"/>
      <c r="D40" s="10"/>
      <c r="E40" s="10"/>
      <c r="F40" s="10"/>
    </row>
    <row r="41" spans="1:6">
      <c r="A41" s="10"/>
      <c r="B41" s="10"/>
      <c r="C41" s="10"/>
      <c r="D41" s="10"/>
      <c r="E41" s="10"/>
      <c r="F41" s="10"/>
    </row>
    <row r="42" spans="1:6">
      <c r="A42" s="10"/>
      <c r="B42" s="10"/>
      <c r="C42" s="10"/>
      <c r="D42" s="10"/>
      <c r="E42" s="10"/>
      <c r="F42" s="10"/>
    </row>
    <row r="43" spans="1:6">
      <c r="A43" s="10"/>
      <c r="B43" s="10"/>
      <c r="C43" s="10"/>
      <c r="D43" s="10"/>
      <c r="E43" s="10"/>
      <c r="F43" s="10"/>
    </row>
    <row r="44" spans="1:6">
      <c r="A44" s="10"/>
      <c r="B44" s="10"/>
      <c r="C44" s="10"/>
      <c r="D44" s="10"/>
      <c r="E44" s="10"/>
      <c r="F44" s="10"/>
    </row>
    <row r="45" spans="1:6">
      <c r="A45" s="10"/>
      <c r="B45" s="10"/>
      <c r="C45" s="10"/>
      <c r="D45" s="10"/>
      <c r="E45" s="10"/>
      <c r="F45" s="10"/>
    </row>
    <row r="46" spans="1:6">
      <c r="A46" s="10"/>
      <c r="B46" s="10"/>
      <c r="C46" s="10"/>
      <c r="D46" s="10"/>
      <c r="E46" s="10"/>
      <c r="F46" s="10"/>
    </row>
  </sheetData>
  <mergeCells count="17">
    <mergeCell ref="A3:A4"/>
    <mergeCell ref="B3:B4"/>
    <mergeCell ref="C3:C4"/>
    <mergeCell ref="D3:D4"/>
    <mergeCell ref="E3:E4"/>
    <mergeCell ref="B20:C20"/>
    <mergeCell ref="H3:H4"/>
    <mergeCell ref="B15:C15"/>
    <mergeCell ref="E15:F15"/>
    <mergeCell ref="B18:C18"/>
    <mergeCell ref="B19:C19"/>
    <mergeCell ref="F3:F4"/>
    <mergeCell ref="G3:G4"/>
    <mergeCell ref="B13:C13"/>
    <mergeCell ref="E13:F13"/>
    <mergeCell ref="B14:C14"/>
    <mergeCell ref="E14:F1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05"/>
  <sheetViews>
    <sheetView view="pageBreakPreview" topLeftCell="A6" zoomScaleNormal="100" zoomScaleSheetLayoutView="100" workbookViewId="0">
      <selection activeCell="D17" sqref="D17"/>
    </sheetView>
  </sheetViews>
  <sheetFormatPr defaultColWidth="9.140625" defaultRowHeight="13.15"/>
  <cols>
    <col min="1" max="1" width="2.7109375" style="21" customWidth="1"/>
    <col min="2" max="2" width="43.85546875" style="21" customWidth="1"/>
    <col min="3" max="3" width="54.42578125" style="21" customWidth="1"/>
    <col min="4" max="4" width="19" style="21" customWidth="1"/>
    <col min="5" max="5" width="11.5703125" style="20" customWidth="1"/>
    <col min="6" max="16384" width="9.140625" style="21"/>
  </cols>
  <sheetData>
    <row r="1" spans="1:5" ht="12.75">
      <c r="A1" s="19"/>
      <c r="B1" s="139" t="s">
        <v>35</v>
      </c>
      <c r="C1" s="140"/>
      <c r="D1" s="140"/>
    </row>
    <row r="2" spans="1:5" ht="13.5" thickBot="1">
      <c r="A2" s="22"/>
      <c r="B2" s="23"/>
      <c r="C2" s="23"/>
      <c r="D2" s="23"/>
    </row>
    <row r="3" spans="1:5" ht="4.5" customHeight="1">
      <c r="A3" s="24"/>
      <c r="B3" s="25"/>
      <c r="C3" s="26"/>
      <c r="D3" s="27"/>
      <c r="E3" s="28"/>
    </row>
    <row r="4" spans="1:5" ht="12.75">
      <c r="A4" s="24"/>
      <c r="B4" s="29" t="s">
        <v>36</v>
      </c>
      <c r="C4" s="30"/>
      <c r="D4" s="31"/>
      <c r="E4" s="32"/>
    </row>
    <row r="5" spans="1:5" ht="15.75" thickBot="1">
      <c r="A5" s="24"/>
      <c r="B5" s="33" t="s">
        <v>37</v>
      </c>
      <c r="C5" s="34"/>
      <c r="D5" s="35" t="s">
        <v>38</v>
      </c>
      <c r="E5" s="36" t="s">
        <v>39</v>
      </c>
    </row>
    <row r="6" spans="1:5" ht="15.75">
      <c r="A6" s="24"/>
      <c r="B6" s="37" t="s">
        <v>40</v>
      </c>
      <c r="C6" s="38" t="s">
        <v>41</v>
      </c>
      <c r="D6" s="39" t="s">
        <v>42</v>
      </c>
      <c r="E6" s="39" t="s">
        <v>42</v>
      </c>
    </row>
    <row r="7" spans="1:5" ht="14.25">
      <c r="A7" s="24"/>
      <c r="B7" s="40" t="s">
        <v>43</v>
      </c>
      <c r="C7" s="41" t="s">
        <v>44</v>
      </c>
      <c r="D7" s="42">
        <f>[1]Inputs!$C$4</f>
        <v>820</v>
      </c>
      <c r="E7" s="42">
        <f>[1]Inputs!$C$4</f>
        <v>820</v>
      </c>
    </row>
    <row r="8" spans="1:5" ht="15.6">
      <c r="A8" s="24"/>
      <c r="B8" s="43" t="s">
        <v>45</v>
      </c>
      <c r="C8" s="44" t="s">
        <v>46</v>
      </c>
      <c r="D8" s="45">
        <f>D9*8760</f>
        <v>595.17290000000003</v>
      </c>
      <c r="E8" s="45">
        <f>E9*8760</f>
        <v>8502.4699999999993</v>
      </c>
    </row>
    <row r="9" spans="1:5" ht="15.6">
      <c r="A9" s="24"/>
      <c r="B9" s="46" t="s">
        <v>47</v>
      </c>
      <c r="C9" s="47" t="s">
        <v>48</v>
      </c>
      <c r="D9" s="45">
        <f t="shared" ref="D9:E9" si="0">D10*D11</f>
        <v>6.7942111872146119E-2</v>
      </c>
      <c r="E9" s="45">
        <f t="shared" si="0"/>
        <v>0.97060159817351588</v>
      </c>
    </row>
    <row r="10" spans="1:5" ht="16.5">
      <c r="A10" s="24"/>
      <c r="B10" s="46" t="s">
        <v>49</v>
      </c>
      <c r="C10" s="47"/>
      <c r="D10" s="45">
        <f>8502.47/8760</f>
        <v>0.97060159817351588</v>
      </c>
      <c r="E10" s="45">
        <f>8502.47/8760</f>
        <v>0.97060159817351588</v>
      </c>
    </row>
    <row r="11" spans="1:5" ht="16.5">
      <c r="A11" s="24"/>
      <c r="B11" s="46" t="s">
        <v>50</v>
      </c>
      <c r="C11" s="47" t="s">
        <v>51</v>
      </c>
      <c r="D11" s="42">
        <v>7.0000000000000007E-2</v>
      </c>
      <c r="E11" s="42">
        <v>1</v>
      </c>
    </row>
    <row r="12" spans="1:5" ht="16.5">
      <c r="A12" s="24"/>
      <c r="B12" s="46" t="s">
        <v>52</v>
      </c>
      <c r="C12" s="47"/>
      <c r="D12" s="48">
        <v>0.05</v>
      </c>
      <c r="E12" s="48">
        <v>0.05</v>
      </c>
    </row>
    <row r="13" spans="1:5" ht="16.5">
      <c r="A13" s="24"/>
      <c r="B13" s="46" t="s">
        <v>53</v>
      </c>
      <c r="C13" s="47"/>
      <c r="D13" s="49">
        <f t="shared" ref="D13:E13" si="1">78.2/10^6</f>
        <v>7.8200000000000003E-5</v>
      </c>
      <c r="E13" s="49">
        <f t="shared" si="1"/>
        <v>7.8200000000000003E-5</v>
      </c>
    </row>
    <row r="14" spans="1:5" ht="16.5">
      <c r="A14" s="24"/>
      <c r="B14" s="46" t="s">
        <v>54</v>
      </c>
      <c r="C14" s="47"/>
      <c r="D14" s="50">
        <v>2.5</v>
      </c>
      <c r="E14" s="50">
        <v>2.5</v>
      </c>
    </row>
    <row r="15" spans="1:5" ht="15.75">
      <c r="A15" s="24"/>
      <c r="B15" s="46" t="s">
        <v>55</v>
      </c>
      <c r="C15" s="47"/>
      <c r="D15" s="51">
        <f>'[1]Heat Inputs'!$M$28</f>
        <v>9642.6613932537421</v>
      </c>
      <c r="E15" s="51">
        <f>'[1]Heat Inputs'!$M$28</f>
        <v>9642.6613932537421</v>
      </c>
    </row>
    <row r="16" spans="1:5" ht="16.5">
      <c r="A16" s="24"/>
      <c r="B16" s="46" t="s">
        <v>56</v>
      </c>
      <c r="C16" s="47"/>
      <c r="D16" s="50">
        <v>23.06</v>
      </c>
      <c r="E16" s="50">
        <v>23.06</v>
      </c>
    </row>
    <row r="17" spans="1:5" ht="26.45">
      <c r="A17" s="24"/>
      <c r="B17" s="52" t="s">
        <v>57</v>
      </c>
      <c r="C17" s="53" t="s">
        <v>58</v>
      </c>
      <c r="D17" s="129">
        <f>(0.07*(1+0.07)^20)/((1+0.07)^20-1)</f>
        <v>9.4392925743255696E-2</v>
      </c>
      <c r="E17" s="129">
        <f>(0.07*(1+0.07)^20)/((1+0.07)^20-1)</f>
        <v>9.4392925743255696E-2</v>
      </c>
    </row>
    <row r="18" spans="1:5">
      <c r="A18" s="24"/>
      <c r="B18" s="54"/>
      <c r="C18" s="55" t="s">
        <v>59</v>
      </c>
      <c r="D18" s="56"/>
      <c r="E18" s="56"/>
    </row>
    <row r="19" spans="1:5" ht="15.75">
      <c r="A19" s="24"/>
      <c r="B19" s="57" t="s">
        <v>60</v>
      </c>
      <c r="C19" s="58"/>
      <c r="D19" s="59"/>
      <c r="E19" s="59"/>
    </row>
    <row r="20" spans="1:5" ht="12.75">
      <c r="A20" s="24"/>
      <c r="B20" s="60" t="s">
        <v>61</v>
      </c>
      <c r="C20" s="61">
        <v>607.5</v>
      </c>
      <c r="D20" s="42"/>
      <c r="E20" s="42"/>
    </row>
    <row r="21" spans="1:5" ht="13.5" thickBot="1">
      <c r="A21" s="24"/>
      <c r="B21" s="62" t="s">
        <v>62</v>
      </c>
      <c r="C21" s="63">
        <v>389.5</v>
      </c>
      <c r="D21" s="56"/>
      <c r="E21" s="56"/>
    </row>
    <row r="22" spans="1:5" ht="13.5" thickBot="1">
      <c r="A22" s="24"/>
      <c r="B22" s="64" t="s">
        <v>63</v>
      </c>
      <c r="C22" s="65"/>
      <c r="D22" s="66"/>
      <c r="E22" s="66"/>
    </row>
    <row r="23" spans="1:5" ht="31.15">
      <c r="A23" s="24"/>
      <c r="B23" s="67" t="s">
        <v>64</v>
      </c>
      <c r="C23" s="68" t="s">
        <v>65</v>
      </c>
      <c r="D23" s="69">
        <f>950*D7*((2375/D7)^0.557)*(0.66+(0.85*D59))*($C$20/$C$21)</f>
        <v>2196982.4876493402</v>
      </c>
      <c r="E23" s="69">
        <f>950*E7*((2375/E7)^0.557)*(0.66+(0.85*E59))*($C$20/$C$21)</f>
        <v>1963553.0983365977</v>
      </c>
    </row>
    <row r="24" spans="1:5" ht="12.75">
      <c r="A24" s="24"/>
      <c r="B24" s="70" t="s">
        <v>66</v>
      </c>
      <c r="C24" s="71"/>
      <c r="D24" s="72"/>
      <c r="E24" s="72"/>
    </row>
    <row r="25" spans="1:5">
      <c r="A25" s="24"/>
      <c r="B25" s="46" t="s">
        <v>67</v>
      </c>
      <c r="C25" s="47" t="s">
        <v>68</v>
      </c>
      <c r="D25" s="73">
        <f t="shared" ref="D25:E25" si="2">0.05*D23</f>
        <v>109849.12438246701</v>
      </c>
      <c r="E25" s="73">
        <f t="shared" si="2"/>
        <v>98177.654916829895</v>
      </c>
    </row>
    <row r="26" spans="1:5">
      <c r="A26" s="24"/>
      <c r="B26" s="46" t="s">
        <v>69</v>
      </c>
      <c r="C26" s="47" t="s">
        <v>70</v>
      </c>
      <c r="D26" s="73">
        <f t="shared" ref="D26:E26" si="3">0.1*D23</f>
        <v>219698.24876493402</v>
      </c>
      <c r="E26" s="73">
        <f t="shared" si="3"/>
        <v>196355.30983365979</v>
      </c>
    </row>
    <row r="27" spans="1:5">
      <c r="A27" s="24"/>
      <c r="B27" s="46" t="s">
        <v>71</v>
      </c>
      <c r="C27" s="47" t="s">
        <v>68</v>
      </c>
      <c r="D27" s="73">
        <f t="shared" ref="D27:E27" si="4">0.05*D23</f>
        <v>109849.12438246701</v>
      </c>
      <c r="E27" s="73">
        <f t="shared" si="4"/>
        <v>98177.654916829895</v>
      </c>
    </row>
    <row r="28" spans="1:5" ht="25.5">
      <c r="A28" s="24"/>
      <c r="B28" s="46" t="s">
        <v>72</v>
      </c>
      <c r="C28" s="74" t="s">
        <v>73</v>
      </c>
      <c r="D28" s="73">
        <f t="shared" ref="D28:E28" si="5">SUM(D25:D27)</f>
        <v>439396.49752986804</v>
      </c>
      <c r="E28" s="73">
        <f t="shared" si="5"/>
        <v>392710.61966731958</v>
      </c>
    </row>
    <row r="29" spans="1:5" ht="12.75">
      <c r="A29" s="24"/>
      <c r="B29" s="75" t="s">
        <v>74</v>
      </c>
      <c r="C29" s="71"/>
      <c r="D29" s="76"/>
      <c r="E29" s="76"/>
    </row>
    <row r="30" spans="1:5">
      <c r="A30" s="24"/>
      <c r="B30" s="46" t="s">
        <v>75</v>
      </c>
      <c r="C30" s="44" t="s">
        <v>76</v>
      </c>
      <c r="D30" s="73">
        <f t="shared" ref="D30:E30" si="6" xml:space="preserve"> 0.15*(D23+D28)</f>
        <v>395456.84777688124</v>
      </c>
      <c r="E30" s="73">
        <f t="shared" si="6"/>
        <v>353439.55770058761</v>
      </c>
    </row>
    <row r="31" spans="1:5" ht="12.75">
      <c r="A31" s="24"/>
      <c r="B31" s="46" t="s">
        <v>77</v>
      </c>
      <c r="C31" s="44" t="s">
        <v>78</v>
      </c>
      <c r="D31" s="73">
        <f t="shared" ref="D31:E31" si="7" xml:space="preserve"> D23+D28+D30</f>
        <v>3031835.8329560896</v>
      </c>
      <c r="E31" s="73">
        <f t="shared" si="7"/>
        <v>2709703.2757045049</v>
      </c>
    </row>
    <row r="32" spans="1:5" ht="12.75">
      <c r="A32" s="24"/>
      <c r="B32" s="46" t="s">
        <v>79</v>
      </c>
      <c r="C32" s="44" t="s">
        <v>80</v>
      </c>
      <c r="D32" s="73">
        <v>0</v>
      </c>
      <c r="E32" s="73">
        <v>0</v>
      </c>
    </row>
    <row r="33" spans="1:5" ht="12.75">
      <c r="A33" s="24"/>
      <c r="B33" s="46" t="s">
        <v>81</v>
      </c>
      <c r="C33" s="44" t="s">
        <v>82</v>
      </c>
      <c r="D33" s="73">
        <v>0</v>
      </c>
      <c r="E33" s="73">
        <v>0</v>
      </c>
    </row>
    <row r="34" spans="1:5">
      <c r="A34" s="24"/>
      <c r="B34" s="46" t="s">
        <v>83</v>
      </c>
      <c r="C34" s="44" t="s">
        <v>84</v>
      </c>
      <c r="D34" s="73">
        <f t="shared" ref="D34:E34" si="8">0.02*(D31+D32)</f>
        <v>60636.716659121797</v>
      </c>
      <c r="E34" s="73">
        <f t="shared" si="8"/>
        <v>54194.0655140901</v>
      </c>
    </row>
    <row r="35" spans="1:5" ht="16.899999999999999">
      <c r="A35" s="24"/>
      <c r="B35" s="46" t="s">
        <v>85</v>
      </c>
      <c r="C35" s="44" t="s">
        <v>86</v>
      </c>
      <c r="D35" s="73">
        <f t="shared" ref="D35:E35" si="9">D37*D36</f>
        <v>28098.5376</v>
      </c>
      <c r="E35" s="73">
        <f t="shared" si="9"/>
        <v>28098.5376</v>
      </c>
    </row>
    <row r="36" spans="1:5" ht="16.5">
      <c r="A36" s="24"/>
      <c r="B36" s="46" t="s">
        <v>87</v>
      </c>
      <c r="C36" s="77"/>
      <c r="D36" s="45">
        <f t="shared" ref="D36:E36" si="10">9.5*373/2000</f>
        <v>1.7717499999999999</v>
      </c>
      <c r="E36" s="45">
        <f t="shared" si="10"/>
        <v>1.7717499999999999</v>
      </c>
    </row>
    <row r="37" spans="1:5" ht="15.6">
      <c r="A37" s="24"/>
      <c r="B37" s="46" t="s">
        <v>88</v>
      </c>
      <c r="C37" s="44" t="s">
        <v>89</v>
      </c>
      <c r="D37" s="51">
        <f t="shared" ref="D37:E37" si="11">D38*14*24</f>
        <v>15859.2</v>
      </c>
      <c r="E37" s="51">
        <f t="shared" si="11"/>
        <v>15859.2</v>
      </c>
    </row>
    <row r="38" spans="1:5" ht="16.5">
      <c r="A38" s="24"/>
      <c r="B38" s="78" t="s">
        <v>90</v>
      </c>
      <c r="C38" s="79" t="s">
        <v>91</v>
      </c>
      <c r="D38" s="80">
        <v>47.2</v>
      </c>
      <c r="E38" s="80">
        <v>47.2</v>
      </c>
    </row>
    <row r="39" spans="1:5" ht="16.899999999999999">
      <c r="A39" s="24"/>
      <c r="B39" s="46" t="s">
        <v>92</v>
      </c>
      <c r="C39" s="79" t="s">
        <v>91</v>
      </c>
      <c r="D39" s="81">
        <f t="shared" ref="D39:E39" si="12">D38*9.5</f>
        <v>448.40000000000003</v>
      </c>
      <c r="E39" s="81">
        <f t="shared" si="12"/>
        <v>448.40000000000003</v>
      </c>
    </row>
    <row r="40" spans="1:5" ht="16.899999999999999">
      <c r="A40" s="24"/>
      <c r="B40" s="46" t="s">
        <v>93</v>
      </c>
      <c r="C40" s="79" t="s">
        <v>91</v>
      </c>
      <c r="D40" s="81">
        <f t="shared" ref="D40:E40" si="13">D39*0.5</f>
        <v>224.20000000000002</v>
      </c>
      <c r="E40" s="81">
        <f t="shared" si="13"/>
        <v>224.20000000000002</v>
      </c>
    </row>
    <row r="41" spans="1:5">
      <c r="A41" s="24"/>
      <c r="B41" s="46" t="s">
        <v>94</v>
      </c>
      <c r="C41" s="44" t="s">
        <v>95</v>
      </c>
      <c r="D41" s="81"/>
      <c r="E41" s="81"/>
    </row>
    <row r="42" spans="1:5">
      <c r="A42" s="24"/>
      <c r="B42" s="78" t="s">
        <v>96</v>
      </c>
      <c r="C42" s="79" t="s">
        <v>97</v>
      </c>
      <c r="D42" s="73">
        <v>0</v>
      </c>
      <c r="E42" s="73">
        <v>0</v>
      </c>
    </row>
    <row r="43" spans="1:5">
      <c r="A43" s="24"/>
      <c r="B43" s="82" t="s">
        <v>98</v>
      </c>
      <c r="C43" s="83" t="s">
        <v>99</v>
      </c>
      <c r="D43" s="76">
        <f t="shared" ref="D43:E43" si="14">SUM(D31:D35,D42)</f>
        <v>3120571.0872152112</v>
      </c>
      <c r="E43" s="76">
        <f t="shared" si="14"/>
        <v>2791995.8788185949</v>
      </c>
    </row>
    <row r="44" spans="1:5" ht="13.9" thickBot="1">
      <c r="A44" s="24"/>
      <c r="B44" s="84"/>
      <c r="C44" s="85"/>
      <c r="D44" s="86"/>
      <c r="E44" s="21"/>
    </row>
    <row r="45" spans="1:5" ht="13.9" thickBot="1">
      <c r="A45" s="24"/>
      <c r="B45" s="64" t="s">
        <v>100</v>
      </c>
      <c r="C45" s="65"/>
      <c r="D45" s="87"/>
      <c r="E45" s="21"/>
    </row>
    <row r="46" spans="1:5">
      <c r="A46" s="24"/>
      <c r="B46" s="46" t="s">
        <v>101</v>
      </c>
      <c r="C46" s="47" t="s">
        <v>102</v>
      </c>
      <c r="D46" s="73">
        <f t="shared" ref="D46:E46" si="15">0.015*D43</f>
        <v>46808.566308228168</v>
      </c>
      <c r="E46" s="73">
        <f t="shared" si="15"/>
        <v>41879.938182278922</v>
      </c>
    </row>
    <row r="47" spans="1:5" ht="15.6">
      <c r="A47" s="24"/>
      <c r="B47" s="46" t="s">
        <v>103</v>
      </c>
      <c r="C47" s="47" t="s">
        <v>104</v>
      </c>
      <c r="D47" s="73">
        <f t="shared" ref="D47:E47" si="16">D38*D36*D8</f>
        <v>49772.286039140003</v>
      </c>
      <c r="E47" s="73">
        <f t="shared" si="16"/>
        <v>711032.65770199988</v>
      </c>
    </row>
    <row r="48" spans="1:5">
      <c r="A48" s="24"/>
      <c r="B48" s="46" t="s">
        <v>105</v>
      </c>
      <c r="C48" s="47" t="s">
        <v>106</v>
      </c>
      <c r="D48" s="73"/>
      <c r="E48" s="73"/>
    </row>
    <row r="49" spans="1:5">
      <c r="A49" s="24"/>
      <c r="B49" s="46" t="s">
        <v>107</v>
      </c>
      <c r="C49" s="47" t="s">
        <v>106</v>
      </c>
      <c r="D49" s="45"/>
      <c r="E49" s="45"/>
    </row>
    <row r="50" spans="1:5" ht="15.6">
      <c r="A50" s="24"/>
      <c r="B50" s="46" t="s">
        <v>108</v>
      </c>
      <c r="C50" s="47" t="s">
        <v>109</v>
      </c>
      <c r="D50" s="73">
        <f t="shared" ref="D50:E50" si="17">D51*D13*D8</f>
        <v>10.003435023488077</v>
      </c>
      <c r="E50" s="73">
        <f t="shared" si="17"/>
        <v>142.90621462125821</v>
      </c>
    </row>
    <row r="51" spans="1:5" ht="16.899999999999999">
      <c r="A51" s="24"/>
      <c r="B51" s="46" t="s">
        <v>110</v>
      </c>
      <c r="C51" s="47" t="s">
        <v>111</v>
      </c>
      <c r="D51" s="45">
        <f t="shared" ref="D51:E51" si="18">(D39/8.345)*((0.5/0.1)-1)</f>
        <v>214.93109646494906</v>
      </c>
      <c r="E51" s="45">
        <f t="shared" si="18"/>
        <v>214.93109646494906</v>
      </c>
    </row>
    <row r="52" spans="1:5" ht="15.6">
      <c r="A52" s="24"/>
      <c r="B52" s="46" t="s">
        <v>112</v>
      </c>
      <c r="C52" s="47" t="s">
        <v>113</v>
      </c>
      <c r="D52" s="73">
        <f t="shared" ref="D52:E52" si="19">D53*D14*D8</f>
        <v>2702.1147246450005</v>
      </c>
      <c r="E52" s="73">
        <f t="shared" si="19"/>
        <v>38601.638923500002</v>
      </c>
    </row>
    <row r="53" spans="1:5" ht="16.899999999999999">
      <c r="A53" s="24"/>
      <c r="B53" s="46" t="s">
        <v>114</v>
      </c>
      <c r="C53" s="47" t="s">
        <v>115</v>
      </c>
      <c r="D53" s="45">
        <f>(900*D40*((1/0.1)-1))/10^6</f>
        <v>1.8160200000000002</v>
      </c>
      <c r="E53" s="45">
        <f>(900*E40*((1/0.1)-1))/10^6</f>
        <v>1.8160200000000002</v>
      </c>
    </row>
    <row r="54" spans="1:5" ht="15.6">
      <c r="A54" s="24"/>
      <c r="B54" s="46" t="s">
        <v>116</v>
      </c>
      <c r="C54" s="47" t="s">
        <v>117</v>
      </c>
      <c r="D54" s="73">
        <f t="shared" ref="D54:E54" si="20">(D55*D16*D8)/2000</f>
        <v>96.929825194175038</v>
      </c>
      <c r="E54" s="73">
        <f t="shared" si="20"/>
        <v>1384.7117884882146</v>
      </c>
    </row>
    <row r="55" spans="1:5" ht="15.6">
      <c r="A55" s="24"/>
      <c r="B55" s="88" t="s">
        <v>118</v>
      </c>
      <c r="C55" s="47" t="s">
        <v>119</v>
      </c>
      <c r="D55" s="89">
        <f t="shared" ref="D55:E55" si="21">(D53*0.075*10^6)/D15</f>
        <v>14.124886734619773</v>
      </c>
      <c r="E55" s="89">
        <f t="shared" si="21"/>
        <v>14.124886734619773</v>
      </c>
    </row>
    <row r="56" spans="1:5">
      <c r="A56" s="24"/>
      <c r="B56" s="82" t="s">
        <v>120</v>
      </c>
      <c r="C56" s="83" t="s">
        <v>121</v>
      </c>
      <c r="D56" s="76">
        <f t="shared" ref="D56:E56" si="22">SUM(D46:D48,D50,D52,D54)</f>
        <v>99389.900332230842</v>
      </c>
      <c r="E56" s="76">
        <f t="shared" si="22"/>
        <v>793041.8528108882</v>
      </c>
    </row>
    <row r="57" spans="1:5" ht="27" thickBot="1">
      <c r="A57" s="24"/>
      <c r="B57" s="90" t="s">
        <v>122</v>
      </c>
      <c r="C57" s="91" t="s">
        <v>123</v>
      </c>
      <c r="D57" s="92">
        <f t="shared" ref="D57:E57" si="23">D17*D43</f>
        <v>294559.8349120561</v>
      </c>
      <c r="E57" s="92">
        <f t="shared" si="23"/>
        <v>263544.65966479958</v>
      </c>
    </row>
    <row r="58" spans="1:5" ht="13.9" thickBot="1">
      <c r="A58" s="24"/>
      <c r="B58" s="93" t="s">
        <v>124</v>
      </c>
      <c r="C58" s="94" t="s">
        <v>125</v>
      </c>
      <c r="D58" s="95">
        <f t="shared" ref="D58:E58" si="24">D56+D57</f>
        <v>393949.73524428695</v>
      </c>
      <c r="E58" s="95">
        <f t="shared" si="24"/>
        <v>1056586.5124756878</v>
      </c>
    </row>
    <row r="59" spans="1:5" ht="13.9" thickBot="1">
      <c r="A59" s="24"/>
      <c r="B59" s="96" t="s">
        <v>126</v>
      </c>
      <c r="C59" s="97"/>
      <c r="D59" s="98">
        <v>0.4</v>
      </c>
      <c r="E59" s="98">
        <v>0.27500000000000002</v>
      </c>
    </row>
    <row r="60" spans="1:5" s="103" customFormat="1" ht="13.5" hidden="1" thickBot="1">
      <c r="A60" s="99"/>
      <c r="B60" s="100" t="s">
        <v>127</v>
      </c>
      <c r="C60" s="101"/>
      <c r="D60" s="102">
        <f>[1]Inputs!F40</f>
        <v>1455.7084593999998</v>
      </c>
      <c r="E60" s="102" t="e">
        <f>[1]Inputs!G40</f>
        <v>#REF!</v>
      </c>
    </row>
    <row r="61" spans="1:5" s="103" customFormat="1" ht="13.5" hidden="1" thickBot="1">
      <c r="A61" s="99"/>
      <c r="B61" s="100" t="s">
        <v>128</v>
      </c>
      <c r="C61" s="101"/>
      <c r="D61" s="104">
        <f>[1]Inputs!D40</f>
        <v>0.41758536585365846</v>
      </c>
      <c r="E61" s="104" t="e">
        <f>[1]Inputs!E40</f>
        <v>#REF!</v>
      </c>
    </row>
    <row r="62" spans="1:5" ht="13.9">
      <c r="A62" s="24"/>
      <c r="B62" s="105" t="s">
        <v>129</v>
      </c>
      <c r="C62" s="106"/>
      <c r="D62" s="107"/>
      <c r="E62" s="107"/>
    </row>
    <row r="63" spans="1:5">
      <c r="A63" s="24"/>
      <c r="B63" s="108" t="s">
        <v>130</v>
      </c>
      <c r="C63" s="97"/>
      <c r="D63" s="109">
        <v>559.9</v>
      </c>
      <c r="E63" s="109">
        <v>559.9</v>
      </c>
    </row>
    <row r="64" spans="1:5" s="103" customFormat="1" ht="12.75" hidden="1">
      <c r="A64" s="99"/>
      <c r="B64" s="110" t="s">
        <v>127</v>
      </c>
      <c r="C64" s="101"/>
      <c r="D64" s="102" t="e">
        <f>[1]Inputs!F47</f>
        <v>#REF!</v>
      </c>
      <c r="E64" s="102" t="e">
        <f>[1]Inputs!G47</f>
        <v>#REF!</v>
      </c>
    </row>
    <row r="65" spans="1:5" s="103" customFormat="1" ht="12.75" hidden="1">
      <c r="A65" s="99"/>
      <c r="B65" s="110" t="s">
        <v>128</v>
      </c>
      <c r="C65" s="101"/>
      <c r="D65" s="104" t="e">
        <f>[1]Inputs!D47</f>
        <v>#REF!</v>
      </c>
      <c r="E65" s="104" t="e">
        <f>[1]Inputs!E47</f>
        <v>#REF!</v>
      </c>
    </row>
    <row r="66" spans="1:5">
      <c r="A66" s="24"/>
      <c r="B66" s="108" t="s">
        <v>131</v>
      </c>
      <c r="C66" s="97"/>
      <c r="D66" s="111">
        <f>D63*D59*D11</f>
        <v>15.677200000000003</v>
      </c>
      <c r="E66" s="111">
        <f>E63*E59*E11</f>
        <v>153.9725</v>
      </c>
    </row>
    <row r="67" spans="1:5" ht="13.9" thickBot="1">
      <c r="A67" s="22"/>
      <c r="B67" s="112" t="s">
        <v>132</v>
      </c>
      <c r="C67" s="85"/>
      <c r="D67" s="113">
        <f>D58/D66</f>
        <v>25128.832651512188</v>
      </c>
      <c r="E67" s="113">
        <f>E58/E66</f>
        <v>6862.1767684209053</v>
      </c>
    </row>
    <row r="68" spans="1:5">
      <c r="A68" s="22"/>
      <c r="B68" s="114"/>
      <c r="C68" s="115"/>
      <c r="D68" s="116"/>
      <c r="E68" s="117"/>
    </row>
    <row r="69" spans="1:5">
      <c r="A69" s="22"/>
      <c r="B69" s="114"/>
      <c r="C69" s="115"/>
      <c r="D69" s="117"/>
    </row>
    <row r="70" spans="1:5">
      <c r="A70" s="22"/>
      <c r="B70" s="114"/>
      <c r="C70" s="115"/>
      <c r="D70" s="117"/>
    </row>
    <row r="71" spans="1:5">
      <c r="A71" s="22"/>
      <c r="B71" s="114"/>
      <c r="C71" s="118"/>
      <c r="D71" s="119"/>
    </row>
    <row r="72" spans="1:5">
      <c r="A72" s="22"/>
      <c r="B72" s="114"/>
      <c r="C72" s="118"/>
      <c r="D72" s="117"/>
    </row>
    <row r="73" spans="1:5">
      <c r="A73" s="22"/>
      <c r="B73" s="114"/>
      <c r="C73" s="118"/>
      <c r="D73" s="119"/>
    </row>
    <row r="74" spans="1:5" ht="15.6">
      <c r="A74" s="22"/>
      <c r="B74" s="120" t="s">
        <v>133</v>
      </c>
      <c r="C74" s="120"/>
      <c r="D74" s="121"/>
    </row>
    <row r="75" spans="1:5" ht="15.6">
      <c r="A75" s="22"/>
      <c r="B75" s="122" t="s">
        <v>134</v>
      </c>
      <c r="C75" s="122"/>
      <c r="D75" s="121"/>
    </row>
    <row r="76" spans="1:5" ht="30">
      <c r="A76" s="22"/>
      <c r="B76" s="122" t="s">
        <v>135</v>
      </c>
      <c r="C76" s="122" t="s">
        <v>136</v>
      </c>
      <c r="D76" s="121"/>
    </row>
    <row r="77" spans="1:5" ht="2.25" customHeight="1">
      <c r="A77" s="22"/>
      <c r="B77" s="120"/>
      <c r="C77" s="120"/>
      <c r="D77" s="121"/>
    </row>
    <row r="78" spans="1:5" ht="15.6">
      <c r="A78" s="22"/>
      <c r="B78" s="122" t="s">
        <v>137</v>
      </c>
      <c r="C78" s="120"/>
      <c r="D78" s="121"/>
    </row>
    <row r="79" spans="1:5" ht="15.6">
      <c r="A79" s="22"/>
      <c r="B79" s="120" t="s">
        <v>138</v>
      </c>
      <c r="C79" s="122"/>
      <c r="D79" s="121"/>
    </row>
    <row r="80" spans="1:5" ht="15.6">
      <c r="A80" s="22"/>
      <c r="B80" s="120" t="s">
        <v>139</v>
      </c>
      <c r="C80" s="122"/>
      <c r="D80" s="121"/>
    </row>
    <row r="81" spans="1:5" ht="15.75" customHeight="1">
      <c r="A81" s="22"/>
      <c r="B81" s="120" t="s">
        <v>140</v>
      </c>
      <c r="C81" s="122"/>
      <c r="D81" s="121"/>
    </row>
    <row r="82" spans="1:5" ht="18" customHeight="1">
      <c r="A82" s="22"/>
      <c r="B82" s="138" t="s">
        <v>141</v>
      </c>
      <c r="C82" s="138"/>
      <c r="D82" s="121"/>
    </row>
    <row r="83" spans="1:5" ht="21" customHeight="1">
      <c r="A83" s="22"/>
      <c r="B83" s="138" t="s">
        <v>142</v>
      </c>
      <c r="C83" s="138"/>
      <c r="D83" s="121"/>
    </row>
    <row r="84" spans="1:5" ht="15.6">
      <c r="A84" s="22"/>
      <c r="B84" s="120" t="s">
        <v>143</v>
      </c>
      <c r="C84" s="120"/>
      <c r="D84" s="121"/>
    </row>
    <row r="85" spans="1:5" ht="15.6">
      <c r="A85" s="22"/>
      <c r="B85" s="120" t="s">
        <v>144</v>
      </c>
      <c r="C85" s="122"/>
      <c r="D85" s="121"/>
    </row>
    <row r="86" spans="1:5" ht="46.5" customHeight="1">
      <c r="A86" s="22"/>
      <c r="B86" s="141" t="s">
        <v>145</v>
      </c>
      <c r="C86" s="142"/>
      <c r="D86" s="142"/>
      <c r="E86" s="123"/>
    </row>
    <row r="87" spans="1:5" ht="16.899999999999999">
      <c r="A87" s="22"/>
      <c r="B87" s="122" t="s">
        <v>146</v>
      </c>
      <c r="C87" s="122"/>
      <c r="D87" s="121"/>
    </row>
    <row r="88" spans="1:5" ht="16.899999999999999">
      <c r="A88" s="22"/>
      <c r="B88" s="122" t="s">
        <v>147</v>
      </c>
      <c r="C88" s="122"/>
      <c r="D88" s="121"/>
    </row>
    <row r="89" spans="1:5">
      <c r="A89" s="22"/>
      <c r="B89" s="124"/>
      <c r="C89" s="124"/>
      <c r="D89" s="121"/>
    </row>
    <row r="90" spans="1:5" ht="56.25" customHeight="1">
      <c r="A90" s="22"/>
      <c r="B90" s="138" t="s">
        <v>148</v>
      </c>
      <c r="C90" s="138"/>
      <c r="D90" s="121"/>
    </row>
    <row r="91" spans="1:5" ht="19.5" customHeight="1">
      <c r="A91" s="22"/>
      <c r="B91" s="120" t="s">
        <v>149</v>
      </c>
      <c r="C91" s="120"/>
      <c r="D91" s="121"/>
    </row>
    <row r="92" spans="1:5" ht="32.25" customHeight="1">
      <c r="A92" s="22"/>
      <c r="B92" s="138" t="s">
        <v>150</v>
      </c>
      <c r="C92" s="138"/>
      <c r="D92" s="121"/>
    </row>
    <row r="105" spans="2:3">
      <c r="B105" s="125"/>
      <c r="C105" s="126"/>
    </row>
  </sheetData>
  <mergeCells count="6">
    <mergeCell ref="B92:C92"/>
    <mergeCell ref="B1:D1"/>
    <mergeCell ref="B82:C82"/>
    <mergeCell ref="B83:C83"/>
    <mergeCell ref="B86:D86"/>
    <mergeCell ref="B90:C90"/>
  </mergeCells>
  <pageMargins left="0.7" right="0.7" top="0.75" bottom="0.75" header="0.3" footer="0.3"/>
  <pageSetup scale="63" orientation="portrait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02"/>
  <sheetViews>
    <sheetView tabSelected="1" view="pageBreakPreview" topLeftCell="A6" zoomScaleNormal="100" zoomScaleSheetLayoutView="100" workbookViewId="0">
      <selection activeCell="E17" sqref="E17"/>
    </sheetView>
  </sheetViews>
  <sheetFormatPr defaultColWidth="9.140625" defaultRowHeight="13.15"/>
  <cols>
    <col min="1" max="1" width="2.7109375" style="21" customWidth="1"/>
    <col min="2" max="2" width="43.85546875" style="21" customWidth="1"/>
    <col min="3" max="3" width="54.42578125" style="21" customWidth="1"/>
    <col min="4" max="4" width="20.42578125" style="21" customWidth="1"/>
    <col min="5" max="5" width="9.85546875" style="20" bestFit="1" customWidth="1"/>
    <col min="6" max="16384" width="9.140625" style="21"/>
  </cols>
  <sheetData>
    <row r="1" spans="1:5" ht="12.75">
      <c r="A1" s="19"/>
      <c r="B1" s="139" t="s">
        <v>151</v>
      </c>
      <c r="C1" s="140"/>
      <c r="D1" s="140"/>
    </row>
    <row r="2" spans="1:5" ht="13.5" thickBot="1">
      <c r="A2" s="22"/>
      <c r="B2" s="23"/>
      <c r="C2" s="23"/>
      <c r="D2" s="23"/>
    </row>
    <row r="3" spans="1:5" ht="4.5" customHeight="1">
      <c r="A3" s="24"/>
      <c r="B3" s="25"/>
      <c r="C3" s="26"/>
      <c r="D3" s="27"/>
      <c r="E3" s="28"/>
    </row>
    <row r="4" spans="1:5" ht="12.75">
      <c r="A4" s="24"/>
      <c r="B4" s="29" t="s">
        <v>36</v>
      </c>
      <c r="C4" s="30"/>
      <c r="D4" s="31"/>
    </row>
    <row r="5" spans="1:5" ht="15.75" thickBot="1">
      <c r="A5" s="24"/>
      <c r="B5" s="33" t="s">
        <v>37</v>
      </c>
      <c r="C5" s="34"/>
      <c r="D5" s="35" t="s">
        <v>38</v>
      </c>
      <c r="E5" s="36" t="s">
        <v>38</v>
      </c>
    </row>
    <row r="6" spans="1:5" ht="15.75">
      <c r="A6" s="24"/>
      <c r="B6" s="37" t="s">
        <v>40</v>
      </c>
      <c r="C6" s="38" t="s">
        <v>41</v>
      </c>
      <c r="D6" s="39" t="s">
        <v>152</v>
      </c>
      <c r="E6" s="127" t="s">
        <v>152</v>
      </c>
    </row>
    <row r="7" spans="1:5" ht="14.25">
      <c r="A7" s="24"/>
      <c r="B7" s="40" t="s">
        <v>43</v>
      </c>
      <c r="C7" s="41" t="s">
        <v>44</v>
      </c>
      <c r="D7" s="42">
        <f>[1]Inputs!$C$4</f>
        <v>820</v>
      </c>
      <c r="E7" s="42">
        <f>[1]Inputs!$C$4</f>
        <v>820</v>
      </c>
    </row>
    <row r="8" spans="1:5" ht="15.6">
      <c r="A8" s="24"/>
      <c r="B8" s="43" t="s">
        <v>45</v>
      </c>
      <c r="C8" s="44" t="s">
        <v>46</v>
      </c>
      <c r="D8" s="45">
        <f>D9*8760</f>
        <v>595.17290000000003</v>
      </c>
      <c r="E8" s="45">
        <f>E9*8760</f>
        <v>8502.4699999999993</v>
      </c>
    </row>
    <row r="9" spans="1:5" ht="15.6">
      <c r="A9" s="24"/>
      <c r="B9" s="46" t="s">
        <v>47</v>
      </c>
      <c r="C9" s="47" t="s">
        <v>48</v>
      </c>
      <c r="D9" s="45">
        <f t="shared" ref="D9:E9" si="0">D10*D11</f>
        <v>6.7942111872146119E-2</v>
      </c>
      <c r="E9" s="45">
        <f t="shared" si="0"/>
        <v>0.97060159817351588</v>
      </c>
    </row>
    <row r="10" spans="1:5" ht="16.5">
      <c r="A10" s="24"/>
      <c r="B10" s="46" t="s">
        <v>49</v>
      </c>
      <c r="C10" s="47"/>
      <c r="D10" s="45">
        <f>8502.47/8760</f>
        <v>0.97060159817351588</v>
      </c>
      <c r="E10" s="45">
        <f>8502.47/8760</f>
        <v>0.97060159817351588</v>
      </c>
    </row>
    <row r="11" spans="1:5" ht="16.5">
      <c r="A11" s="24"/>
      <c r="B11" s="46" t="s">
        <v>50</v>
      </c>
      <c r="C11" s="47" t="s">
        <v>51</v>
      </c>
      <c r="D11" s="42">
        <v>7.0000000000000007E-2</v>
      </c>
      <c r="E11" s="42">
        <v>1</v>
      </c>
    </row>
    <row r="12" spans="1:5" ht="16.5">
      <c r="A12" s="24"/>
      <c r="B12" s="46" t="s">
        <v>52</v>
      </c>
      <c r="C12" s="47"/>
      <c r="D12" s="48">
        <v>0.05</v>
      </c>
      <c r="E12" s="48">
        <v>0.05</v>
      </c>
    </row>
    <row r="13" spans="1:5" ht="16.5">
      <c r="A13" s="24"/>
      <c r="B13" s="46" t="s">
        <v>53</v>
      </c>
      <c r="C13" s="47"/>
      <c r="D13" s="49">
        <f t="shared" ref="D13:E13" si="1">78.2/10^6</f>
        <v>7.8200000000000003E-5</v>
      </c>
      <c r="E13" s="49">
        <f t="shared" si="1"/>
        <v>7.8200000000000003E-5</v>
      </c>
    </row>
    <row r="14" spans="1:5" ht="16.5">
      <c r="A14" s="24"/>
      <c r="B14" s="46" t="s">
        <v>54</v>
      </c>
      <c r="C14" s="47"/>
      <c r="D14" s="50">
        <v>2.5</v>
      </c>
      <c r="E14" s="50">
        <v>2.5</v>
      </c>
    </row>
    <row r="15" spans="1:5" ht="15.75">
      <c r="A15" s="24"/>
      <c r="B15" s="46" t="s">
        <v>55</v>
      </c>
      <c r="C15" s="47"/>
      <c r="D15" s="51">
        <f>'[1]Heat Inputs'!$M$28</f>
        <v>9642.6613932537421</v>
      </c>
      <c r="E15" s="51">
        <f>'[1]Heat Inputs'!$M$28</f>
        <v>9642.6613932537421</v>
      </c>
    </row>
    <row r="16" spans="1:5" ht="16.5">
      <c r="A16" s="24"/>
      <c r="B16" s="46" t="s">
        <v>56</v>
      </c>
      <c r="C16" s="47"/>
      <c r="D16" s="50">
        <v>23.06</v>
      </c>
      <c r="E16" s="50">
        <v>23.06</v>
      </c>
    </row>
    <row r="17" spans="1:5" ht="26.45">
      <c r="A17" s="24"/>
      <c r="B17" s="52" t="s">
        <v>57</v>
      </c>
      <c r="C17" s="53" t="s">
        <v>58</v>
      </c>
      <c r="D17" s="129">
        <f>(0.07*(1+0.07)^20)/((1+0.07)^20-1)</f>
        <v>9.4392925743255696E-2</v>
      </c>
      <c r="E17" s="129">
        <f>(0.07*(1+0.07)^20)/((1+0.07)^20-1)</f>
        <v>9.4392925743255696E-2</v>
      </c>
    </row>
    <row r="18" spans="1:5">
      <c r="A18" s="24"/>
      <c r="B18" s="54"/>
      <c r="C18" s="130" t="s">
        <v>153</v>
      </c>
      <c r="D18" s="56"/>
      <c r="E18" s="56"/>
    </row>
    <row r="19" spans="1:5" ht="15.75">
      <c r="A19" s="24"/>
      <c r="B19" s="57" t="s">
        <v>60</v>
      </c>
      <c r="C19" s="58"/>
      <c r="D19" s="59"/>
      <c r="E19" s="59"/>
    </row>
    <row r="20" spans="1:5" ht="12.75">
      <c r="A20" s="24"/>
      <c r="B20" s="60" t="s">
        <v>61</v>
      </c>
      <c r="C20" s="61">
        <v>607.5</v>
      </c>
      <c r="D20" s="42"/>
      <c r="E20" s="42"/>
    </row>
    <row r="21" spans="1:5" ht="13.5" thickBot="1">
      <c r="A21" s="24"/>
      <c r="B21" s="62" t="s">
        <v>62</v>
      </c>
      <c r="C21" s="63">
        <v>389.5</v>
      </c>
      <c r="D21" s="56"/>
      <c r="E21" s="56"/>
    </row>
    <row r="22" spans="1:5" ht="13.5" thickBot="1">
      <c r="A22" s="24"/>
      <c r="B22" s="64" t="s">
        <v>63</v>
      </c>
      <c r="C22" s="65"/>
      <c r="D22" s="66"/>
      <c r="E22" s="66"/>
    </row>
    <row r="23" spans="1:5" ht="31.15">
      <c r="A23" s="24"/>
      <c r="B23" s="67" t="s">
        <v>64</v>
      </c>
      <c r="C23" s="68" t="s">
        <v>154</v>
      </c>
      <c r="D23" s="69">
        <f>950*D7*((2375/D7)^0.557)*(0.66+(0.85*D59))*($C$20/$C$21)</f>
        <v>2196982.4876493402</v>
      </c>
      <c r="E23" s="69">
        <f>950*E7*((2375/E7)^0.557)*(0.66+(0.85*E59))*($C$20/$C$21)</f>
        <v>1963553.0983365977</v>
      </c>
    </row>
    <row r="24" spans="1:5" ht="12.75">
      <c r="A24" s="24"/>
      <c r="B24" s="70" t="s">
        <v>66</v>
      </c>
      <c r="C24" s="71"/>
      <c r="D24" s="72"/>
      <c r="E24" s="72"/>
    </row>
    <row r="25" spans="1:5">
      <c r="A25" s="24"/>
      <c r="B25" s="46" t="s">
        <v>67</v>
      </c>
      <c r="C25" s="47" t="s">
        <v>68</v>
      </c>
      <c r="D25" s="73">
        <f t="shared" ref="D25:E25" si="2">0.05*D23</f>
        <v>109849.12438246701</v>
      </c>
      <c r="E25" s="73">
        <f t="shared" si="2"/>
        <v>98177.654916829895</v>
      </c>
    </row>
    <row r="26" spans="1:5">
      <c r="A26" s="24"/>
      <c r="B26" s="46" t="s">
        <v>69</v>
      </c>
      <c r="C26" s="47" t="s">
        <v>70</v>
      </c>
      <c r="D26" s="73">
        <f t="shared" ref="D26:E26" si="3">0.1*D23</f>
        <v>219698.24876493402</v>
      </c>
      <c r="E26" s="73">
        <f t="shared" si="3"/>
        <v>196355.30983365979</v>
      </c>
    </row>
    <row r="27" spans="1:5">
      <c r="A27" s="24"/>
      <c r="B27" s="46" t="s">
        <v>71</v>
      </c>
      <c r="C27" s="47" t="s">
        <v>68</v>
      </c>
      <c r="D27" s="73">
        <f t="shared" ref="D27:E27" si="4">0.05*D23</f>
        <v>109849.12438246701</v>
      </c>
      <c r="E27" s="73">
        <f t="shared" si="4"/>
        <v>98177.654916829895</v>
      </c>
    </row>
    <row r="28" spans="1:5" ht="25.5">
      <c r="A28" s="24"/>
      <c r="B28" s="46" t="s">
        <v>72</v>
      </c>
      <c r="C28" s="74" t="s">
        <v>73</v>
      </c>
      <c r="D28" s="73">
        <f t="shared" ref="D28:E28" si="5">SUM(D25:D27)</f>
        <v>439396.49752986804</v>
      </c>
      <c r="E28" s="73">
        <f t="shared" si="5"/>
        <v>392710.61966731958</v>
      </c>
    </row>
    <row r="29" spans="1:5" ht="12.75">
      <c r="A29" s="24"/>
      <c r="B29" s="75" t="s">
        <v>74</v>
      </c>
      <c r="C29" s="71"/>
      <c r="D29" s="76"/>
      <c r="E29" s="76"/>
    </row>
    <row r="30" spans="1:5">
      <c r="A30" s="24"/>
      <c r="B30" s="46" t="s">
        <v>75</v>
      </c>
      <c r="C30" s="44" t="s">
        <v>76</v>
      </c>
      <c r="D30" s="73">
        <f t="shared" ref="D30:E30" si="6" xml:space="preserve"> 0.15*(D23+D28)</f>
        <v>395456.84777688124</v>
      </c>
      <c r="E30" s="73">
        <f t="shared" si="6"/>
        <v>353439.55770058761</v>
      </c>
    </row>
    <row r="31" spans="1:5" ht="12.75">
      <c r="A31" s="24"/>
      <c r="B31" s="46" t="s">
        <v>77</v>
      </c>
      <c r="C31" s="44" t="s">
        <v>78</v>
      </c>
      <c r="D31" s="73">
        <f t="shared" ref="D31:E31" si="7" xml:space="preserve"> D23+D28+D30</f>
        <v>3031835.8329560896</v>
      </c>
      <c r="E31" s="73">
        <f t="shared" si="7"/>
        <v>2709703.2757045049</v>
      </c>
    </row>
    <row r="32" spans="1:5" ht="12.75">
      <c r="A32" s="24"/>
      <c r="B32" s="46" t="s">
        <v>79</v>
      </c>
      <c r="C32" s="44" t="s">
        <v>80</v>
      </c>
      <c r="D32" s="73">
        <v>0</v>
      </c>
      <c r="E32" s="73">
        <v>0</v>
      </c>
    </row>
    <row r="33" spans="1:5" ht="12.75">
      <c r="A33" s="24"/>
      <c r="B33" s="46" t="s">
        <v>81</v>
      </c>
      <c r="C33" s="44" t="s">
        <v>82</v>
      </c>
      <c r="D33" s="73">
        <v>0</v>
      </c>
      <c r="E33" s="73">
        <v>0</v>
      </c>
    </row>
    <row r="34" spans="1:5">
      <c r="A34" s="24"/>
      <c r="B34" s="46" t="s">
        <v>83</v>
      </c>
      <c r="C34" s="44" t="s">
        <v>84</v>
      </c>
      <c r="D34" s="73">
        <f t="shared" ref="D34:E34" si="8">0.02*(D31+D32)</f>
        <v>60636.716659121797</v>
      </c>
      <c r="E34" s="73">
        <f t="shared" si="8"/>
        <v>54194.0655140901</v>
      </c>
    </row>
    <row r="35" spans="1:5" ht="16.899999999999999">
      <c r="A35" s="24"/>
      <c r="B35" s="46" t="s">
        <v>85</v>
      </c>
      <c r="C35" s="44" t="s">
        <v>86</v>
      </c>
      <c r="D35" s="73">
        <f t="shared" ref="D35:E35" si="9">D37*D36</f>
        <v>28098.5376</v>
      </c>
      <c r="E35" s="73">
        <f t="shared" si="9"/>
        <v>28098.5376</v>
      </c>
    </row>
    <row r="36" spans="1:5" ht="16.5">
      <c r="A36" s="24"/>
      <c r="B36" s="46" t="s">
        <v>87</v>
      </c>
      <c r="C36" s="77"/>
      <c r="D36" s="45">
        <f t="shared" ref="D36:E36" si="10">9.5*373/2000</f>
        <v>1.7717499999999999</v>
      </c>
      <c r="E36" s="45">
        <f t="shared" si="10"/>
        <v>1.7717499999999999</v>
      </c>
    </row>
    <row r="37" spans="1:5" ht="15.6">
      <c r="A37" s="24"/>
      <c r="B37" s="46" t="s">
        <v>88</v>
      </c>
      <c r="C37" s="44" t="s">
        <v>89</v>
      </c>
      <c r="D37" s="51">
        <f t="shared" ref="D37:E37" si="11">D38*14*24</f>
        <v>15859.2</v>
      </c>
      <c r="E37" s="51">
        <f t="shared" si="11"/>
        <v>15859.2</v>
      </c>
    </row>
    <row r="38" spans="1:5" ht="16.899999999999999">
      <c r="A38" s="24"/>
      <c r="B38" s="78" t="s">
        <v>90</v>
      </c>
      <c r="C38" s="79" t="s">
        <v>91</v>
      </c>
      <c r="D38" s="80">
        <v>47.2</v>
      </c>
      <c r="E38" s="80">
        <v>47.2</v>
      </c>
    </row>
    <row r="39" spans="1:5" ht="16.899999999999999">
      <c r="A39" s="24"/>
      <c r="B39" s="46" t="s">
        <v>92</v>
      </c>
      <c r="C39" s="79" t="s">
        <v>91</v>
      </c>
      <c r="D39" s="81">
        <f t="shared" ref="D39:E39" si="12">D38*9.5</f>
        <v>448.40000000000003</v>
      </c>
      <c r="E39" s="81">
        <f t="shared" si="12"/>
        <v>448.40000000000003</v>
      </c>
    </row>
    <row r="40" spans="1:5" ht="16.899999999999999">
      <c r="A40" s="24"/>
      <c r="B40" s="46" t="s">
        <v>93</v>
      </c>
      <c r="C40" s="79" t="s">
        <v>91</v>
      </c>
      <c r="D40" s="81">
        <f t="shared" ref="D40:E40" si="13">D39*0.5</f>
        <v>224.20000000000002</v>
      </c>
      <c r="E40" s="81">
        <f t="shared" si="13"/>
        <v>224.20000000000002</v>
      </c>
    </row>
    <row r="41" spans="1:5">
      <c r="A41" s="24"/>
      <c r="B41" s="46" t="s">
        <v>94</v>
      </c>
      <c r="C41" s="44" t="s">
        <v>95</v>
      </c>
      <c r="D41" s="81"/>
      <c r="E41" s="81"/>
    </row>
    <row r="42" spans="1:5">
      <c r="A42" s="24"/>
      <c r="B42" s="78" t="s">
        <v>96</v>
      </c>
      <c r="C42" s="79" t="s">
        <v>97</v>
      </c>
      <c r="D42" s="73">
        <v>0</v>
      </c>
      <c r="E42" s="73">
        <v>0</v>
      </c>
    </row>
    <row r="43" spans="1:5">
      <c r="A43" s="24"/>
      <c r="B43" s="82" t="s">
        <v>98</v>
      </c>
      <c r="C43" s="83" t="s">
        <v>99</v>
      </c>
      <c r="D43" s="76">
        <f t="shared" ref="D43:E43" si="14">SUM(D31:D35,D42)</f>
        <v>3120571.0872152112</v>
      </c>
      <c r="E43" s="76">
        <f t="shared" si="14"/>
        <v>2791995.8788185949</v>
      </c>
    </row>
    <row r="44" spans="1:5" ht="13.9" thickBot="1">
      <c r="A44" s="24"/>
      <c r="B44" s="84"/>
      <c r="C44" s="85"/>
      <c r="D44" s="86"/>
      <c r="E44" s="86"/>
    </row>
    <row r="45" spans="1:5" ht="13.9" thickBot="1">
      <c r="A45" s="24"/>
      <c r="B45" s="64" t="s">
        <v>100</v>
      </c>
      <c r="C45" s="65"/>
      <c r="D45" s="87"/>
      <c r="E45" s="87"/>
    </row>
    <row r="46" spans="1:5">
      <c r="A46" s="24"/>
      <c r="B46" s="46" t="s">
        <v>101</v>
      </c>
      <c r="C46" s="47" t="s">
        <v>102</v>
      </c>
      <c r="D46" s="73">
        <f t="shared" ref="D46:E46" si="15">0.015*D43</f>
        <v>46808.566308228168</v>
      </c>
      <c r="E46" s="73">
        <f t="shared" si="15"/>
        <v>41879.938182278922</v>
      </c>
    </row>
    <row r="47" spans="1:5" ht="15.6">
      <c r="A47" s="24"/>
      <c r="B47" s="46" t="s">
        <v>103</v>
      </c>
      <c r="C47" s="47" t="s">
        <v>104</v>
      </c>
      <c r="D47" s="73">
        <f t="shared" ref="D47:E47" si="16">D38*D36*D8</f>
        <v>49772.286039140003</v>
      </c>
      <c r="E47" s="73">
        <f t="shared" si="16"/>
        <v>711032.65770199988</v>
      </c>
    </row>
    <row r="48" spans="1:5">
      <c r="A48" s="24"/>
      <c r="B48" s="46" t="s">
        <v>105</v>
      </c>
      <c r="C48" s="47" t="s">
        <v>106</v>
      </c>
      <c r="D48" s="73"/>
      <c r="E48" s="73"/>
    </row>
    <row r="49" spans="1:5">
      <c r="A49" s="24"/>
      <c r="B49" s="46" t="s">
        <v>107</v>
      </c>
      <c r="C49" s="47" t="s">
        <v>106</v>
      </c>
      <c r="D49" s="45"/>
      <c r="E49" s="45"/>
    </row>
    <row r="50" spans="1:5" ht="15.6">
      <c r="A50" s="24"/>
      <c r="B50" s="46" t="s">
        <v>108</v>
      </c>
      <c r="C50" s="47" t="s">
        <v>109</v>
      </c>
      <c r="D50" s="73">
        <f t="shared" ref="D50:E50" si="17">D51*D13*D8</f>
        <v>10.003435023488077</v>
      </c>
      <c r="E50" s="73">
        <f t="shared" si="17"/>
        <v>142.90621462125821</v>
      </c>
    </row>
    <row r="51" spans="1:5" ht="16.899999999999999">
      <c r="A51" s="24"/>
      <c r="B51" s="46" t="s">
        <v>110</v>
      </c>
      <c r="C51" s="47" t="s">
        <v>111</v>
      </c>
      <c r="D51" s="45">
        <f t="shared" ref="D51:E51" si="18">(D39/8.345)*((0.5/0.1)-1)</f>
        <v>214.93109646494906</v>
      </c>
      <c r="E51" s="45">
        <f t="shared" si="18"/>
        <v>214.93109646494906</v>
      </c>
    </row>
    <row r="52" spans="1:5" ht="15.6">
      <c r="A52" s="24"/>
      <c r="B52" s="46" t="s">
        <v>112</v>
      </c>
      <c r="C52" s="47" t="s">
        <v>113</v>
      </c>
      <c r="D52" s="73">
        <f t="shared" ref="D52:E52" si="19">D53*D14*D8</f>
        <v>2702.1147246450005</v>
      </c>
      <c r="E52" s="73">
        <f t="shared" si="19"/>
        <v>38601.638923500002</v>
      </c>
    </row>
    <row r="53" spans="1:5" ht="16.899999999999999">
      <c r="A53" s="24"/>
      <c r="B53" s="46" t="s">
        <v>114</v>
      </c>
      <c r="C53" s="47" t="s">
        <v>115</v>
      </c>
      <c r="D53" s="45">
        <f>(900*D40*((1/0.1)-1))/10^6</f>
        <v>1.8160200000000002</v>
      </c>
      <c r="E53" s="45">
        <f>(900*E40*((1/0.1)-1))/10^6</f>
        <v>1.8160200000000002</v>
      </c>
    </row>
    <row r="54" spans="1:5" ht="15.6">
      <c r="A54" s="24"/>
      <c r="B54" s="46" t="s">
        <v>116</v>
      </c>
      <c r="C54" s="47" t="s">
        <v>117</v>
      </c>
      <c r="D54" s="73">
        <f t="shared" ref="D54:E54" si="20">(D55*D16*D8)/2000</f>
        <v>96.929825194175038</v>
      </c>
      <c r="E54" s="73">
        <f t="shared" si="20"/>
        <v>1384.7117884882146</v>
      </c>
    </row>
    <row r="55" spans="1:5" ht="15.6">
      <c r="A55" s="24"/>
      <c r="B55" s="88" t="s">
        <v>118</v>
      </c>
      <c r="C55" s="47" t="s">
        <v>119</v>
      </c>
      <c r="D55" s="89">
        <f t="shared" ref="D55:E55" si="21">(D53*0.075*10^6)/D15</f>
        <v>14.124886734619773</v>
      </c>
      <c r="E55" s="89">
        <f t="shared" si="21"/>
        <v>14.124886734619773</v>
      </c>
    </row>
    <row r="56" spans="1:5">
      <c r="A56" s="24"/>
      <c r="B56" s="82" t="s">
        <v>120</v>
      </c>
      <c r="C56" s="83" t="s">
        <v>121</v>
      </c>
      <c r="D56" s="76">
        <f t="shared" ref="D56:E56" si="22">SUM(D46:D48,D50,D52,D54)</f>
        <v>99389.900332230842</v>
      </c>
      <c r="E56" s="76">
        <f t="shared" si="22"/>
        <v>793041.8528108882</v>
      </c>
    </row>
    <row r="57" spans="1:5" ht="27" thickBot="1">
      <c r="A57" s="24"/>
      <c r="B57" s="90" t="s">
        <v>122</v>
      </c>
      <c r="C57" s="91" t="s">
        <v>123</v>
      </c>
      <c r="D57" s="92">
        <f t="shared" ref="D57:E57" si="23">D17*D43</f>
        <v>294559.8349120561</v>
      </c>
      <c r="E57" s="92">
        <f t="shared" si="23"/>
        <v>263544.65966479958</v>
      </c>
    </row>
    <row r="58" spans="1:5" ht="13.9" thickBot="1">
      <c r="A58" s="24"/>
      <c r="B58" s="93" t="s">
        <v>124</v>
      </c>
      <c r="C58" s="94" t="s">
        <v>125</v>
      </c>
      <c r="D58" s="95">
        <f t="shared" ref="D58:E58" si="24">D56+D57</f>
        <v>393949.73524428695</v>
      </c>
      <c r="E58" s="95">
        <f t="shared" si="24"/>
        <v>1056586.5124756878</v>
      </c>
    </row>
    <row r="59" spans="1:5" ht="13.9" thickBot="1">
      <c r="A59" s="24"/>
      <c r="B59" s="96" t="s">
        <v>155</v>
      </c>
      <c r="C59" s="97"/>
      <c r="D59" s="98">
        <v>0.4</v>
      </c>
      <c r="E59" s="98">
        <v>0.27500000000000002</v>
      </c>
    </row>
    <row r="60" spans="1:5" ht="13.9">
      <c r="A60" s="24"/>
      <c r="B60" s="105" t="s">
        <v>129</v>
      </c>
      <c r="C60" s="106"/>
      <c r="D60" s="107"/>
      <c r="E60" s="107"/>
    </row>
    <row r="61" spans="1:5">
      <c r="A61" s="24"/>
      <c r="B61" s="108" t="s">
        <v>130</v>
      </c>
      <c r="C61" s="97"/>
      <c r="D61" s="109">
        <v>290.10000000000002</v>
      </c>
      <c r="E61" s="109">
        <v>290.10000000000002</v>
      </c>
    </row>
    <row r="62" spans="1:5" s="103" customFormat="1" ht="12.75" hidden="1">
      <c r="A62" s="99"/>
      <c r="B62" s="110" t="s">
        <v>127</v>
      </c>
      <c r="C62" s="101"/>
      <c r="D62" s="102" t="e">
        <f>[1]Inputs!F47</f>
        <v>#REF!</v>
      </c>
      <c r="E62" s="102" t="e">
        <f>[1]Inputs!G47</f>
        <v>#REF!</v>
      </c>
    </row>
    <row r="63" spans="1:5" s="103" customFormat="1" ht="12.75" hidden="1">
      <c r="A63" s="99"/>
      <c r="B63" s="110" t="s">
        <v>128</v>
      </c>
      <c r="C63" s="101"/>
      <c r="D63" s="104" t="e">
        <f>[1]Inputs!D47</f>
        <v>#REF!</v>
      </c>
      <c r="E63" s="104" t="e">
        <f>[1]Inputs!E47</f>
        <v>#REF!</v>
      </c>
    </row>
    <row r="64" spans="1:5">
      <c r="A64" s="24"/>
      <c r="B64" s="108" t="s">
        <v>131</v>
      </c>
      <c r="C64" s="97"/>
      <c r="D64" s="111">
        <f>D61*D59*D11</f>
        <v>8.1228000000000016</v>
      </c>
      <c r="E64" s="111">
        <f>E61*E59*E11</f>
        <v>79.777500000000018</v>
      </c>
    </row>
    <row r="65" spans="1:5" ht="13.9" thickBot="1">
      <c r="A65" s="22"/>
      <c r="B65" s="112" t="s">
        <v>132</v>
      </c>
      <c r="C65" s="85"/>
      <c r="D65" s="113">
        <f>D58/D64</f>
        <v>48499.253366362202</v>
      </c>
      <c r="E65" s="113">
        <f>E58/E64</f>
        <v>13244.166744704804</v>
      </c>
    </row>
    <row r="66" spans="1:5">
      <c r="A66" s="22"/>
      <c r="B66" s="114"/>
      <c r="C66" s="115"/>
      <c r="D66" s="117"/>
      <c r="E66" s="117"/>
    </row>
    <row r="67" spans="1:5">
      <c r="A67" s="22"/>
      <c r="B67" s="114"/>
      <c r="C67" s="115"/>
      <c r="D67" s="117"/>
      <c r="E67" s="117"/>
    </row>
    <row r="68" spans="1:5">
      <c r="A68" s="22"/>
      <c r="B68" s="114"/>
      <c r="C68" s="115"/>
      <c r="D68" s="117"/>
      <c r="E68" s="117"/>
    </row>
    <row r="69" spans="1:5">
      <c r="A69" s="22"/>
      <c r="B69" s="114"/>
      <c r="C69" s="118"/>
      <c r="D69" s="119"/>
      <c r="E69" s="117"/>
    </row>
    <row r="70" spans="1:5">
      <c r="A70" s="22"/>
      <c r="B70" s="114"/>
      <c r="C70" s="118"/>
      <c r="D70" s="117"/>
      <c r="E70" s="117"/>
    </row>
    <row r="71" spans="1:5">
      <c r="A71" s="22"/>
      <c r="B71" s="114"/>
      <c r="C71" s="118"/>
      <c r="D71" s="119"/>
    </row>
    <row r="72" spans="1:5" ht="15.6">
      <c r="A72" s="22"/>
      <c r="B72" s="122" t="s">
        <v>134</v>
      </c>
      <c r="C72" s="122"/>
      <c r="D72" s="121"/>
    </row>
    <row r="73" spans="1:5" ht="16.899999999999999">
      <c r="A73" s="22"/>
      <c r="B73" s="122" t="s">
        <v>156</v>
      </c>
      <c r="C73" s="122" t="s">
        <v>157</v>
      </c>
      <c r="D73" s="121"/>
    </row>
    <row r="74" spans="1:5" ht="2.25" customHeight="1">
      <c r="A74" s="22"/>
      <c r="B74" s="120"/>
      <c r="C74" s="120"/>
      <c r="D74" s="121"/>
    </row>
    <row r="75" spans="1:5" ht="15.6">
      <c r="A75" s="22"/>
      <c r="B75" s="122" t="s">
        <v>137</v>
      </c>
      <c r="C75" s="120"/>
      <c r="D75" s="121"/>
    </row>
    <row r="76" spans="1:5" ht="15.6">
      <c r="A76" s="22"/>
      <c r="B76" s="120" t="s">
        <v>138</v>
      </c>
      <c r="C76" s="122"/>
      <c r="D76" s="121"/>
    </row>
    <row r="77" spans="1:5" ht="15.6">
      <c r="A77" s="22"/>
      <c r="B77" s="120" t="s">
        <v>139</v>
      </c>
      <c r="C77" s="122"/>
      <c r="D77" s="121"/>
    </row>
    <row r="78" spans="1:5" ht="15.75" customHeight="1">
      <c r="A78" s="22"/>
      <c r="B78" s="120" t="s">
        <v>140</v>
      </c>
      <c r="C78" s="122"/>
      <c r="D78" s="121"/>
    </row>
    <row r="79" spans="1:5" ht="18" customHeight="1">
      <c r="A79" s="22"/>
      <c r="B79" s="138" t="s">
        <v>141</v>
      </c>
      <c r="C79" s="138"/>
      <c r="D79" s="121"/>
    </row>
    <row r="80" spans="1:5" ht="21" customHeight="1">
      <c r="A80" s="22"/>
      <c r="B80" s="138" t="s">
        <v>142</v>
      </c>
      <c r="C80" s="138"/>
      <c r="D80" s="121"/>
    </row>
    <row r="81" spans="1:5" ht="15.6">
      <c r="A81" s="22"/>
      <c r="B81" s="120" t="s">
        <v>143</v>
      </c>
      <c r="C81" s="120"/>
      <c r="D81" s="121"/>
    </row>
    <row r="82" spans="1:5" ht="15.6">
      <c r="A82" s="22"/>
      <c r="B82" s="120" t="s">
        <v>144</v>
      </c>
      <c r="C82" s="122"/>
      <c r="D82" s="121"/>
    </row>
    <row r="83" spans="1:5" ht="46.5" customHeight="1">
      <c r="A83" s="22"/>
      <c r="B83" s="141" t="s">
        <v>145</v>
      </c>
      <c r="C83" s="142"/>
      <c r="D83" s="142"/>
      <c r="E83" s="123"/>
    </row>
    <row r="84" spans="1:5" ht="16.899999999999999">
      <c r="A84" s="22"/>
      <c r="B84" s="122" t="s">
        <v>146</v>
      </c>
      <c r="C84" s="122"/>
      <c r="D84" s="121"/>
    </row>
    <row r="85" spans="1:5" ht="16.899999999999999">
      <c r="A85" s="22"/>
      <c r="B85" s="122" t="s">
        <v>147</v>
      </c>
      <c r="C85" s="122"/>
      <c r="D85" s="121"/>
    </row>
    <row r="86" spans="1:5">
      <c r="A86" s="22"/>
      <c r="B86" s="124"/>
      <c r="C86" s="124"/>
      <c r="D86" s="121"/>
    </row>
    <row r="87" spans="1:5" ht="56.25" customHeight="1">
      <c r="A87" s="22"/>
      <c r="B87" s="138" t="s">
        <v>148</v>
      </c>
      <c r="C87" s="138"/>
      <c r="D87" s="121"/>
    </row>
    <row r="88" spans="1:5" ht="19.5" customHeight="1">
      <c r="A88" s="22"/>
      <c r="B88" s="120" t="s">
        <v>149</v>
      </c>
      <c r="C88" s="120"/>
      <c r="D88" s="121"/>
    </row>
    <row r="89" spans="1:5" ht="32.25" customHeight="1">
      <c r="A89" s="22"/>
      <c r="B89" s="138" t="s">
        <v>150</v>
      </c>
      <c r="C89" s="138"/>
      <c r="D89" s="121"/>
    </row>
    <row r="102" spans="2:3">
      <c r="B102" s="125"/>
      <c r="C102" s="126"/>
    </row>
  </sheetData>
  <mergeCells count="6">
    <mergeCell ref="B89:C89"/>
    <mergeCell ref="B1:D1"/>
    <mergeCell ref="B79:C79"/>
    <mergeCell ref="B80:C80"/>
    <mergeCell ref="B83:D83"/>
    <mergeCell ref="B87:C87"/>
  </mergeCells>
  <pageMargins left="0.7" right="0.7" top="0.75" bottom="0.75" header="0.3" footer="0.3"/>
  <pageSetup scale="63" orientation="portrait" r:id="rId1"/>
  <rowBreaks count="1" manualBreakCount="1">
    <brk id="7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workbookViewId="0">
      <selection activeCell="E31" sqref="E31"/>
    </sheetView>
  </sheetViews>
  <sheetFormatPr defaultRowHeight="14.45"/>
  <cols>
    <col min="2" max="2" width="17.28515625" bestFit="1" customWidth="1"/>
    <col min="3" max="3" width="41" customWidth="1"/>
    <col min="5" max="5" width="37.28515625" bestFit="1" customWidth="1"/>
    <col min="6" max="6" width="37" customWidth="1"/>
    <col min="7" max="7" width="37.28515625" bestFit="1" customWidth="1"/>
    <col min="8" max="8" width="37" customWidth="1"/>
    <col min="9" max="9" width="37.28515625" bestFit="1" customWidth="1"/>
    <col min="10" max="10" width="37" customWidth="1"/>
    <col min="11" max="11" width="37.28515625" bestFit="1" customWidth="1"/>
    <col min="12" max="12" width="37" customWidth="1"/>
    <col min="13" max="13" width="37.28515625" customWidth="1"/>
    <col min="14" max="14" width="37" customWidth="1"/>
    <col min="15" max="15" width="37.28515625" bestFit="1" customWidth="1"/>
    <col min="16" max="16" width="37" customWidth="1"/>
    <col min="17" max="17" width="37.28515625" bestFit="1" customWidth="1"/>
    <col min="18" max="18" width="37" customWidth="1"/>
    <col min="19" max="19" width="52.28515625" bestFit="1" customWidth="1"/>
    <col min="20" max="20" width="37" customWidth="1"/>
    <col min="21" max="21" width="52.7109375" bestFit="1" customWidth="1"/>
    <col min="22" max="22" width="37" customWidth="1"/>
  </cols>
  <sheetData>
    <row r="1" spans="1:6" ht="18">
      <c r="A1" t="s">
        <v>158</v>
      </c>
      <c r="B1" t="s">
        <v>159</v>
      </c>
      <c r="C1" t="s">
        <v>160</v>
      </c>
    </row>
    <row r="2" spans="1:6" ht="15">
      <c r="A2">
        <v>1998</v>
      </c>
      <c r="B2">
        <v>389.5</v>
      </c>
      <c r="C2">
        <f>$B$23/B2</f>
        <v>1.5596919127086009</v>
      </c>
    </row>
    <row r="3" spans="1:6" ht="15">
      <c r="A3">
        <v>1999</v>
      </c>
      <c r="B3">
        <v>390.6</v>
      </c>
      <c r="C3">
        <f t="shared" ref="C3:C23" si="0">$B$23/B3</f>
        <v>1.5552995391705069</v>
      </c>
      <c r="F3" s="1"/>
    </row>
    <row r="4" spans="1:6" ht="15">
      <c r="A4">
        <v>2000</v>
      </c>
      <c r="B4">
        <v>394.1</v>
      </c>
      <c r="C4">
        <f t="shared" si="0"/>
        <v>1.5414869322506977</v>
      </c>
    </row>
    <row r="5" spans="1:6" ht="15">
      <c r="A5">
        <v>2001</v>
      </c>
      <c r="B5">
        <v>394.3</v>
      </c>
      <c r="C5">
        <f t="shared" si="0"/>
        <v>1.5407050469185899</v>
      </c>
    </row>
    <row r="6" spans="1:6" ht="15">
      <c r="A6">
        <v>2002</v>
      </c>
      <c r="B6">
        <v>395.6</v>
      </c>
      <c r="C6">
        <f t="shared" si="0"/>
        <v>1.5356420626895853</v>
      </c>
    </row>
    <row r="7" spans="1:6" ht="15">
      <c r="A7">
        <v>2003</v>
      </c>
      <c r="B7">
        <v>402</v>
      </c>
      <c r="C7">
        <f t="shared" si="0"/>
        <v>1.5111940298507462</v>
      </c>
    </row>
    <row r="8" spans="1:6" ht="15">
      <c r="A8">
        <v>2004</v>
      </c>
      <c r="B8">
        <v>444.2</v>
      </c>
      <c r="C8">
        <f t="shared" si="0"/>
        <v>1.3676271949572265</v>
      </c>
      <c r="E8" s="2"/>
      <c r="F8" s="2"/>
    </row>
    <row r="9" spans="1:6" ht="15">
      <c r="A9">
        <v>2005</v>
      </c>
      <c r="B9">
        <v>468.2</v>
      </c>
      <c r="C9">
        <f t="shared" si="0"/>
        <v>1.2975224263135412</v>
      </c>
    </row>
    <row r="10" spans="1:6" ht="15">
      <c r="A10">
        <v>2006</v>
      </c>
      <c r="B10">
        <v>499.6</v>
      </c>
      <c r="C10">
        <f t="shared" si="0"/>
        <v>1.215972778222578</v>
      </c>
    </row>
    <row r="11" spans="1:6" ht="15">
      <c r="A11">
        <v>2007</v>
      </c>
      <c r="B11">
        <v>525.4</v>
      </c>
      <c r="C11">
        <f t="shared" si="0"/>
        <v>1.1562618956985156</v>
      </c>
    </row>
    <row r="12" spans="1:6" ht="15">
      <c r="A12">
        <v>2008</v>
      </c>
      <c r="B12">
        <v>575.4</v>
      </c>
      <c r="C12">
        <f t="shared" si="0"/>
        <v>1.0557872784150157</v>
      </c>
    </row>
    <row r="13" spans="1:6" ht="15">
      <c r="A13">
        <v>2009</v>
      </c>
      <c r="B13">
        <v>521.9</v>
      </c>
      <c r="C13">
        <f t="shared" si="0"/>
        <v>1.1640160950373635</v>
      </c>
    </row>
    <row r="14" spans="1:6" ht="15">
      <c r="A14">
        <v>2010</v>
      </c>
      <c r="B14">
        <v>550.79999999999995</v>
      </c>
      <c r="C14">
        <f t="shared" si="0"/>
        <v>1.1029411764705883</v>
      </c>
    </row>
    <row r="15" spans="1:6" ht="15">
      <c r="A15">
        <v>2011</v>
      </c>
      <c r="B15">
        <v>585.70000000000005</v>
      </c>
      <c r="C15">
        <f t="shared" si="0"/>
        <v>1.0372204200102442</v>
      </c>
    </row>
    <row r="16" spans="1:6" ht="15">
      <c r="A16">
        <v>2012</v>
      </c>
      <c r="B16">
        <v>584.6</v>
      </c>
      <c r="C16">
        <f t="shared" si="0"/>
        <v>1.0391720834758809</v>
      </c>
    </row>
    <row r="17" spans="1:3" ht="15">
      <c r="A17">
        <v>2013</v>
      </c>
      <c r="B17">
        <v>567.20000000000005</v>
      </c>
      <c r="C17">
        <f t="shared" si="0"/>
        <v>1.0710507757404795</v>
      </c>
    </row>
    <row r="18" spans="1:3" ht="15">
      <c r="A18">
        <v>2014</v>
      </c>
      <c r="B18">
        <v>576.1</v>
      </c>
      <c r="C18">
        <f t="shared" si="0"/>
        <v>1.054504426314876</v>
      </c>
    </row>
    <row r="19" spans="1:3" ht="15">
      <c r="A19">
        <v>2015</v>
      </c>
      <c r="B19">
        <v>556.79999999999995</v>
      </c>
      <c r="C19">
        <f t="shared" si="0"/>
        <v>1.0910560344827587</v>
      </c>
    </row>
    <row r="20" spans="1:3" ht="15">
      <c r="A20">
        <v>2016</v>
      </c>
      <c r="B20">
        <v>541.70000000000005</v>
      </c>
      <c r="C20">
        <f t="shared" si="0"/>
        <v>1.1214694480339671</v>
      </c>
    </row>
    <row r="21" spans="1:3" ht="15">
      <c r="A21">
        <v>2017</v>
      </c>
      <c r="B21">
        <v>567.5</v>
      </c>
      <c r="C21">
        <f t="shared" si="0"/>
        <v>1.0704845814977975</v>
      </c>
    </row>
    <row r="22" spans="1:3" ht="15">
      <c r="A22">
        <v>2018</v>
      </c>
      <c r="B22">
        <v>603.1</v>
      </c>
      <c r="C22">
        <f t="shared" si="0"/>
        <v>1.0072956391974797</v>
      </c>
    </row>
    <row r="23" spans="1:3" ht="15">
      <c r="A23">
        <v>2019</v>
      </c>
      <c r="B23">
        <v>607.5</v>
      </c>
      <c r="C23">
        <f t="shared" si="0"/>
        <v>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ADEQ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Tricia Treece</dc:creator>
  <cp:keywords/>
  <dc:description/>
  <cp:lastModifiedBy>Tricia Treece</cp:lastModifiedBy>
  <cp:revision/>
  <dcterms:created xsi:type="dcterms:W3CDTF">2020-08-04T17:58:33Z</dcterms:created>
  <dcterms:modified xsi:type="dcterms:W3CDTF">2022-08-01T12:52:43Z</dcterms:modified>
  <cp:category/>
  <cp:contentStatus/>
</cp:coreProperties>
</file>